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G:\Health\Open Enrollment\OE CY2023\"/>
    </mc:Choice>
  </mc:AlternateContent>
  <xr:revisionPtr revIDLastSave="0" documentId="8_{1D5D2D53-A323-418A-B1CA-A94A6DF8CE11}" xr6:coauthVersionLast="47" xr6:coauthVersionMax="47" xr10:uidLastSave="{00000000-0000-0000-0000-000000000000}"/>
  <workbookProtection workbookAlgorithmName="SHA-512" workbookHashValue="emXVWvfLfyreZRg9y9D2BXSHR7urFAQI0SBDnffbBupkdWpmWBDBhYwQkkE8EFppb2S+Whitf4Gp5RM1Bv3Zvw==" workbookSaltValue="sJR2ltX1cQLfvG+qkdnnuw==" workbookSpinCount="100000" lockStructure="1"/>
  <bookViews>
    <workbookView xWindow="-120" yWindow="-120" windowWidth="29040" windowHeight="15840" xr2:uid="{00000000-000D-0000-FFFF-FFFF00000000}"/>
  </bookViews>
  <sheets>
    <sheet name="Sheet1" sheetId="1" r:id="rId1"/>
  </sheets>
  <definedNames>
    <definedName name="CC_CI">Sheet1!$E$30</definedName>
    <definedName name="CC_Ded">Sheet1!$E$28</definedName>
    <definedName name="CC_MCoin">Sheet1!$T$28</definedName>
    <definedName name="CC_NOOP">Sheet1!$E$24</definedName>
    <definedName name="CC_OOP">Sheet1!$E$29</definedName>
    <definedName name="CCDED">Sheet1!$E$23</definedName>
    <definedName name="CDED">Sheet1!$U$7</definedName>
    <definedName name="Claim_Spend">Sheet1!$E$42</definedName>
    <definedName name="CLAIM1">Sheet1!$E$37</definedName>
    <definedName name="CLAIM2">Sheet1!$E$38</definedName>
    <definedName name="CLAIM3">Sheet1!$E$39</definedName>
    <definedName name="CLAIM4">Sheet1!$E$40</definedName>
    <definedName name="COOP">Sheet1!$V$7</definedName>
    <definedName name="E_CI">Sheet1!$F$30</definedName>
    <definedName name="E_Ded">Sheet1!$F$28</definedName>
    <definedName name="E_MCOIN">Sheet1!$T$29</definedName>
    <definedName name="E_NOOP">Sheet1!$F$24</definedName>
    <definedName name="E_OOP">Sheet1!$F$29</definedName>
    <definedName name="ECONDED">Sheet1!$U$8</definedName>
    <definedName name="EDED">Sheet1!$F$23</definedName>
    <definedName name="EOOP">Sheet1!$V$8</definedName>
    <definedName name="_xlnm.Print_Area" localSheetId="0">Sheet1!$A$1:$H$85</definedName>
    <definedName name="S_CI">Sheet1!$G$30</definedName>
    <definedName name="S_Ded">Sheet1!$G$28</definedName>
    <definedName name="S_MCOIN">Sheet1!$T$30</definedName>
    <definedName name="S_NOOP">Sheet1!$G$24</definedName>
    <definedName name="S_OOP">Sheet1!$G$29</definedName>
    <definedName name="SDED">Sheet1!$G$23</definedName>
    <definedName name="SOOP">Sheet1!$V$9</definedName>
    <definedName name="STANDED">Sheet1!$U$9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2" i="1" l="1"/>
  <c r="G72" i="1"/>
  <c r="F24" i="1" l="1"/>
  <c r="F72" i="1"/>
  <c r="F23" i="1"/>
  <c r="G23" i="1"/>
  <c r="G24" i="1"/>
  <c r="E24" i="1"/>
  <c r="E23" i="1"/>
  <c r="R37" i="1" l="1"/>
  <c r="Q38" i="1"/>
  <c r="G38" i="1" l="1"/>
  <c r="G39" i="1"/>
  <c r="G40" i="1"/>
  <c r="L38" i="1"/>
  <c r="R38" i="1"/>
  <c r="K38" i="1"/>
  <c r="N38" i="1"/>
  <c r="O37" i="1"/>
  <c r="L37" i="1"/>
  <c r="Q37" i="1"/>
  <c r="N37" i="1"/>
  <c r="K37" i="1"/>
  <c r="O38" i="1"/>
  <c r="G29" i="1"/>
  <c r="F29" i="1"/>
  <c r="G28" i="1"/>
  <c r="F28" i="1"/>
  <c r="E29" i="1"/>
  <c r="E28" i="1"/>
  <c r="S37" i="1" l="1"/>
  <c r="M37" i="1"/>
  <c r="M38" i="1" s="1"/>
  <c r="K39" i="1"/>
  <c r="Q39" i="1" l="1"/>
  <c r="Q40" i="1" s="1"/>
  <c r="N39" i="1"/>
  <c r="S38" i="1" l="1"/>
  <c r="N40" i="1"/>
  <c r="N42" i="1" s="1"/>
  <c r="K40" i="1"/>
  <c r="K42" i="1" s="1"/>
  <c r="L39" i="1" l="1"/>
  <c r="M39" i="1" s="1"/>
  <c r="O39" i="1"/>
  <c r="O40" i="1" s="1"/>
  <c r="Q42" i="1"/>
  <c r="R39" i="1" l="1"/>
  <c r="S39" i="1" s="1"/>
  <c r="L40" i="1"/>
  <c r="M40" i="1" s="1"/>
  <c r="T30" i="1"/>
  <c r="T29" i="1"/>
  <c r="T28" i="1"/>
  <c r="O42" i="1" l="1"/>
  <c r="R40" i="1"/>
  <c r="S40" i="1" s="1"/>
  <c r="E42" i="1"/>
  <c r="R42" i="1" l="1"/>
  <c r="S42" i="1" s="1"/>
  <c r="P37" i="1"/>
  <c r="P38" i="1" l="1"/>
  <c r="P39" i="1" l="1"/>
  <c r="G73" i="1"/>
  <c r="G75" i="1" s="1"/>
  <c r="G76" i="1" s="1"/>
  <c r="P40" i="1" l="1"/>
  <c r="P42" i="1" s="1"/>
  <c r="F73" i="1" s="1"/>
  <c r="L42" i="1"/>
  <c r="M42" i="1" s="1"/>
  <c r="F75" i="1" l="1"/>
  <c r="F76" i="1" s="1"/>
  <c r="E73" i="1"/>
  <c r="E74" i="1" s="1"/>
  <c r="E75" i="1" l="1"/>
  <c r="E76" i="1" s="1"/>
</calcChain>
</file>

<file path=xl/sharedStrings.xml><?xml version="1.0" encoding="utf-8"?>
<sst xmlns="http://schemas.openxmlformats.org/spreadsheetml/2006/main" count="116" uniqueCount="104">
  <si>
    <t>Step 1: Select the type of coverage.</t>
  </si>
  <si>
    <t>Step 2: Select your Bargaining unit to calculate premiums</t>
  </si>
  <si>
    <t>Deductible</t>
  </si>
  <si>
    <t>Economy</t>
  </si>
  <si>
    <t>Standard</t>
  </si>
  <si>
    <t>IN-NETWORK</t>
  </si>
  <si>
    <t>OUT-OF-NETWORK</t>
  </si>
  <si>
    <t>Subtotal</t>
  </si>
  <si>
    <t>Step 4: Estimate your annual medical cost excluding pharmacy</t>
  </si>
  <si>
    <t>Coinsurance</t>
  </si>
  <si>
    <t>Annual Out-of-Pocket maximum</t>
  </si>
  <si>
    <t>Annual Deductible</t>
  </si>
  <si>
    <t>Step 6: Compare your plans</t>
  </si>
  <si>
    <t>Total Annual Premiums</t>
  </si>
  <si>
    <t>Step 3: Review benefit details for the different plans</t>
  </si>
  <si>
    <t>Step 5: Review pharmacy benefits (same for all three plans)</t>
  </si>
  <si>
    <t>Single</t>
  </si>
  <si>
    <t>Family</t>
  </si>
  <si>
    <t>BU</t>
  </si>
  <si>
    <t>SS</t>
  </si>
  <si>
    <t>KK</t>
  </si>
  <si>
    <t>GC</t>
  </si>
  <si>
    <t>XE</t>
  </si>
  <si>
    <t>XJ</t>
  </si>
  <si>
    <t>XL</t>
  </si>
  <si>
    <t>EE</t>
  </si>
  <si>
    <t>TA</t>
  </si>
  <si>
    <t>TM</t>
  </si>
  <si>
    <t>MM</t>
  </si>
  <si>
    <t>BB</t>
  </si>
  <si>
    <t>Based on your estimated medical (excluding pharmacy spend), these are your anticipated total out-of-pocket (OOP) expenses under the AlaskaCare plans</t>
  </si>
  <si>
    <t>Combined Total OOP Estimated Annual Costs</t>
  </si>
  <si>
    <t xml:space="preserve">Combined Total Estimated monthly OOP Costs </t>
  </si>
  <si>
    <t>CC</t>
  </si>
  <si>
    <t>ECON</t>
  </si>
  <si>
    <t>STAN</t>
  </si>
  <si>
    <t>C-Choice</t>
  </si>
  <si>
    <t xml:space="preserve">This tool is to help you estimate and compare your anticipated out-of-pocket expenses under each of the three AlaskaCare medical plans, including the new Consumer Choice (C-Choice) plan. </t>
  </si>
  <si>
    <t>CCDED</t>
  </si>
  <si>
    <t>EDED</t>
  </si>
  <si>
    <t>SDED</t>
  </si>
  <si>
    <t>CCCOIN</t>
  </si>
  <si>
    <t>ECOIN</t>
  </si>
  <si>
    <t>SCOIN</t>
  </si>
  <si>
    <t>CCOOP</t>
  </si>
  <si>
    <t>EOOP</t>
  </si>
  <si>
    <t>SOOP</t>
  </si>
  <si>
    <t>Mbr #1</t>
  </si>
  <si>
    <t>Mbr #2</t>
  </si>
  <si>
    <t>Mbr #3</t>
  </si>
  <si>
    <t>Mbr #4</t>
  </si>
  <si>
    <t>Fam</t>
  </si>
  <si>
    <r>
      <t>Out-of-Pocket maximum</t>
    </r>
    <r>
      <rPr>
        <sz val="8"/>
        <color rgb="FFFF0000"/>
        <rFont val="Calibri"/>
        <family val="2"/>
        <scheme val="minor"/>
      </rPr>
      <t>1</t>
    </r>
  </si>
  <si>
    <r>
      <t>Coinsurance amount</t>
    </r>
    <r>
      <rPr>
        <sz val="8"/>
        <color rgb="FFFF0000"/>
        <rFont val="Calibri"/>
        <family val="2"/>
      </rPr>
      <t>2</t>
    </r>
  </si>
  <si>
    <r>
      <t>Coinsurance amount</t>
    </r>
    <r>
      <rPr>
        <sz val="8"/>
        <color theme="1"/>
        <rFont val="Calibri"/>
        <family val="2"/>
        <scheme val="minor"/>
      </rPr>
      <t>2</t>
    </r>
  </si>
  <si>
    <r>
      <t>State of Alaska Contribution to HRA</t>
    </r>
    <r>
      <rPr>
        <sz val="8"/>
        <color rgb="FFFF0000"/>
        <rFont val="Calibri"/>
        <family val="2"/>
        <scheme val="minor"/>
      </rPr>
      <t>5</t>
    </r>
  </si>
  <si>
    <r>
      <rPr>
        <sz val="14"/>
        <color theme="1"/>
        <rFont val="Calibri"/>
        <family val="2"/>
        <scheme val="minor"/>
      </rPr>
      <t>NOTE:</t>
    </r>
    <r>
      <rPr>
        <sz val="11"/>
        <color theme="1"/>
        <rFont val="Calibri"/>
        <family val="2"/>
        <scheme val="minor"/>
      </rPr>
      <t xml:space="preserve"> If you or your spouse have additional coverage, you should contact the Aetna concierge at 1-855-784-8646 to discuss how benefits may coordinate.</t>
    </r>
  </si>
  <si>
    <r>
      <t>Total Estimated Member Claim Costs</t>
    </r>
    <r>
      <rPr>
        <sz val="8"/>
        <color rgb="FFFF0000"/>
        <rFont val="Calibri"/>
        <family val="2"/>
        <scheme val="minor"/>
      </rPr>
      <t>4</t>
    </r>
  </si>
  <si>
    <r>
      <rPr>
        <b/>
        <sz val="12"/>
        <color rgb="FFC00000"/>
        <rFont val="Calibri"/>
        <family val="2"/>
        <scheme val="minor"/>
      </rPr>
      <t xml:space="preserve">NOTE: </t>
    </r>
    <r>
      <rPr>
        <b/>
        <sz val="12"/>
        <color theme="8" tint="-0.249977111117893"/>
        <rFont val="Calibri"/>
        <family val="2"/>
        <scheme val="minor"/>
      </rPr>
      <t>Please list family members in order of anticpated claims spend from highest to lowest. If more than 4 family members, please combine remaining anticipated spend in #4 box.</t>
    </r>
  </si>
  <si>
    <t>Member with highest anticipated claims</t>
  </si>
  <si>
    <t>Member with 2nd highest claims</t>
  </si>
  <si>
    <t>Member with 3rd highest claims</t>
  </si>
  <si>
    <t>All other members anticipated claims</t>
  </si>
  <si>
    <t xml:space="preserve">   These are the in-network limits. Out-of-Pocket limits when facility services are received at an out-of-network hospital, ambulatory surgery center or free standing imaging center in the Municipality of Anchorage or outside of Alaska will double the out-of-pocket amount.</t>
  </si>
  <si>
    <t xml:space="preserve">   This shows the amount of coinsurance, you as the member are responsible to pay. See section 2.1.1 of the plan booklet for a list of coinsurance exceptions. For example out-of-network hospital, facility and imaging centers in Municipality of Anchorage and outside of Alaska the amount of coinsurance you are required to pay will be higher. Your coinsurance drops to 0 once your out-of-pocket maximum is reached.</t>
  </si>
  <si>
    <r>
      <t xml:space="preserve">   For more information on what services qualify as preventive, see </t>
    </r>
    <r>
      <rPr>
        <i/>
        <sz val="11"/>
        <color theme="4"/>
        <rFont val="Calibri"/>
        <family val="2"/>
        <scheme val="minor"/>
      </rPr>
      <t xml:space="preserve">Preventive Care Coverage Information Flyer </t>
    </r>
    <r>
      <rPr>
        <sz val="11"/>
        <color theme="4"/>
        <rFont val="Calibri"/>
        <family val="2"/>
        <scheme val="minor"/>
      </rPr>
      <t>available online at AlaskaCare.gov or call the Aetna Concierge at 1-855-784-8646.</t>
    </r>
  </si>
  <si>
    <t xml:space="preserve">   Estimate assumes services are received in-network.</t>
  </si>
  <si>
    <t xml:space="preserve">   The Health Reimbursement Arrangement (HRA) will automatically offset the deductible for covered expenses  up to the HRA balance. Any unspent HRA can be rolled over to the following year, but the balance cannot exceed two-times the annual employer contribution. The estimate assumes you are new to the plan or have no carryover from the prior year.</t>
  </si>
  <si>
    <t>AlaskaCare Health Plan Cost Comparison for Full-Time Employees</t>
  </si>
  <si>
    <t>PT Single</t>
  </si>
  <si>
    <t>PT Family</t>
  </si>
  <si>
    <t>Econ</t>
  </si>
  <si>
    <t>Stand</t>
  </si>
  <si>
    <t>Ded</t>
  </si>
  <si>
    <t>OOP</t>
  </si>
  <si>
    <t>Economy Premiums</t>
  </si>
  <si>
    <t>Standard Premiums</t>
  </si>
  <si>
    <t>Consumer Choice Premiums</t>
  </si>
  <si>
    <r>
      <t>AlaskaCare Emp</t>
    </r>
    <r>
      <rPr>
        <b/>
        <sz val="10"/>
        <color rgb="FF000000"/>
        <rFont val="Calibri Light"/>
        <family val="2"/>
      </rPr>
      <t>loyee Prescription Drug Schedule</t>
    </r>
  </si>
  <si>
    <t>Retail 30 Day at Network Pharmacy</t>
  </si>
  <si>
    <t>Prescription Tier</t>
  </si>
  <si>
    <t>Copayment</t>
  </si>
  <si>
    <t>1. Maintenance Generic Prescription Drugs</t>
  </si>
  <si>
    <t>2. Generic Prescription Drugs</t>
  </si>
  <si>
    <t>3. Preferred Brand-Name Prescription Drugs</t>
  </si>
  <si>
    <t>Minimum Payment</t>
  </si>
  <si>
    <t>Maximum Payment</t>
  </si>
  <si>
    <t>4. Non-Preferred Brand-Name Prescription Drugs</t>
  </si>
  <si>
    <t>Maintenance Generic Prescription Drugs</t>
  </si>
  <si>
    <t>Generic Prescription Drugs</t>
  </si>
  <si>
    <t>Preferred Brand-Name Prescription Drugs</t>
  </si>
  <si>
    <t>Non-Preferred Brand-Name Prescription Drugs</t>
  </si>
  <si>
    <t>Out-of-Network Pharmacy</t>
  </si>
  <si>
    <t>Coinsurance for all prescription drugs</t>
  </si>
  <si>
    <t>Out-of-Pocket Limit</t>
  </si>
  <si>
    <t>Annual individual out-of-pocket limit</t>
  </si>
  <si>
    <t>Annual family out-of-pocket limit</t>
  </si>
  <si>
    <r>
      <t>How much do you estimate to receive in non-preventive</t>
    </r>
    <r>
      <rPr>
        <b/>
        <sz val="12"/>
        <color theme="4"/>
        <rFont val="Calibri"/>
        <family val="2"/>
        <scheme val="minor"/>
      </rPr>
      <t xml:space="preserve"> medical services costs this year?</t>
    </r>
  </si>
  <si>
    <r>
      <t>Do not include in-network preventive services</t>
    </r>
    <r>
      <rPr>
        <sz val="8"/>
        <color rgb="FFFF0000"/>
        <rFont val="Calibri"/>
        <family val="2"/>
        <scheme val="minor"/>
      </rPr>
      <t>3</t>
    </r>
    <r>
      <rPr>
        <sz val="11"/>
        <color theme="1"/>
        <rFont val="Calibri"/>
        <family val="2"/>
        <scheme val="minor"/>
      </rPr>
      <t xml:space="preserve"> </t>
    </r>
    <r>
      <rPr>
        <b/>
        <sz val="12"/>
        <color theme="4"/>
        <rFont val="Calibri"/>
        <family val="2"/>
        <scheme val="minor"/>
      </rPr>
      <t>which are paid at 100% and are not subject to the deductible and out-of-pocket limits.</t>
    </r>
  </si>
  <si>
    <t>Home Delivery 31-90 Day at Network Pharmacy</t>
  </si>
  <si>
    <t>Economy*</t>
  </si>
  <si>
    <t>Standard*</t>
  </si>
  <si>
    <t>*Please note the Economy and Standard Plan offer fixed copays for in-network office visits. This may lead to lower costs than estimated above.</t>
  </si>
  <si>
    <r>
      <rPr>
        <sz val="14"/>
        <color theme="1"/>
        <rFont val="Calibri"/>
        <family val="2"/>
        <scheme val="minor"/>
      </rPr>
      <t>DISCLAIMER:</t>
    </r>
    <r>
      <rPr>
        <sz val="11"/>
        <color theme="1"/>
        <rFont val="Calibri"/>
        <family val="2"/>
        <scheme val="minor"/>
      </rPr>
      <t xml:space="preserve"> </t>
    </r>
    <r>
      <rPr>
        <sz val="11"/>
        <rFont val="Calibri"/>
        <family val="2"/>
        <scheme val="minor"/>
      </rPr>
      <t>This tool is intented only as a guide. Your out-of-pocket expenses may vary. The information contained in this tool is based on the specific facts and circumstances presented and cannot be applied to other facts and circumstances.  The Division of Retirement and Benefits has made every effort to ensure, but does not guarantee, that the information provided is accurate and up to date. Where this tool conflicts with the relevant Plan Document, the Plan Document controls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</si>
</sst>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quot;$&quot;#,##0.00"/>
    <numFmt numFmtId="166" formatCode="0.0%"/>
  </numFmts>
  <fonts count="38" x14ac:knownFonts="1">
    <font>
      <sz val="11"/>
      <color theme="1"/>
      <name val="Calibri"/>
      <family val="2"/>
      <scheme val="minor"/>
    </font>
    <font>
      <sz val="11"/>
      <color theme="1"/>
      <name val="Calibri"/>
      <family val="2"/>
      <scheme val="minor"/>
    </font>
    <font>
      <sz val="8"/>
      <color rgb="FFFF0000"/>
      <name val="Calibri"/>
      <family val="2"/>
      <scheme val="minor"/>
    </font>
    <font>
      <sz val="8"/>
      <color rgb="FF000000"/>
      <name val="Segoe UI"/>
      <family val="2"/>
    </font>
    <font>
      <b/>
      <sz val="16"/>
      <color theme="8" tint="-0.249977111117893"/>
      <name val="Calibri"/>
      <family val="2"/>
      <scheme val="minor"/>
    </font>
    <font>
      <sz val="16"/>
      <color theme="1"/>
      <name val="Calibri"/>
      <family val="2"/>
      <scheme val="minor"/>
    </font>
    <font>
      <b/>
      <sz val="12"/>
      <color theme="8" tint="-0.249977111117893"/>
      <name val="Calibri"/>
      <family val="2"/>
      <scheme val="minor"/>
    </font>
    <font>
      <sz val="11"/>
      <color theme="1"/>
      <name val="Calibri"/>
      <family val="2"/>
      <scheme val="minor"/>
    </font>
    <font>
      <b/>
      <sz val="16"/>
      <color theme="0"/>
      <name val="Calibri"/>
      <family val="2"/>
      <scheme val="minor"/>
    </font>
    <font>
      <sz val="11"/>
      <color theme="8" tint="-0.249977111117893"/>
      <name val="Calibri"/>
      <family val="2"/>
      <scheme val="minor"/>
    </font>
    <font>
      <sz val="12"/>
      <color theme="1"/>
      <name val="Calibri"/>
      <family val="2"/>
      <scheme val="minor"/>
    </font>
    <font>
      <sz val="12"/>
      <color theme="8" tint="-0.249977111117893"/>
      <name val="Calibri"/>
      <family val="2"/>
      <scheme val="minor"/>
    </font>
    <font>
      <b/>
      <sz val="11"/>
      <color theme="8" tint="-0.249977111117893"/>
      <name val="Calibri"/>
      <family val="2"/>
      <scheme val="minor"/>
    </font>
    <font>
      <sz val="11"/>
      <color theme="8" tint="-0.499984740745262"/>
      <name val="Calibri"/>
      <family val="2"/>
      <scheme val="minor"/>
    </font>
    <font>
      <sz val="8"/>
      <color rgb="FFFF0000"/>
      <name val="Calibri"/>
      <family val="2"/>
    </font>
    <font>
      <b/>
      <sz val="12"/>
      <color theme="5" tint="-0.249977111117893"/>
      <name val="Calibri"/>
      <family val="2"/>
      <scheme val="minor"/>
    </font>
    <font>
      <sz val="11"/>
      <color theme="5" tint="-0.249977111117893"/>
      <name val="Calibri"/>
      <family val="2"/>
      <scheme val="minor"/>
    </font>
    <font>
      <b/>
      <sz val="11"/>
      <color theme="5" tint="-0.249977111117893"/>
      <name val="Calibri"/>
      <family val="2"/>
      <scheme val="minor"/>
    </font>
    <font>
      <sz val="11"/>
      <color theme="5" tint="-0.499984740745262"/>
      <name val="Calibri"/>
      <family val="2"/>
      <scheme val="minor"/>
    </font>
    <font>
      <sz val="8"/>
      <color theme="1"/>
      <name val="Calibri"/>
      <family val="2"/>
      <scheme val="minor"/>
    </font>
    <font>
      <b/>
      <sz val="10"/>
      <color theme="8" tint="-0.249977111117893"/>
      <name val="Calibri"/>
      <family val="2"/>
      <scheme val="minor"/>
    </font>
    <font>
      <sz val="10"/>
      <color theme="1"/>
      <name val="Calibri"/>
      <family val="2"/>
      <scheme val="minor"/>
    </font>
    <font>
      <sz val="12"/>
      <color theme="8" tint="-0.499984740745262"/>
      <name val="Calibri"/>
      <family val="2"/>
      <scheme val="minor"/>
    </font>
    <font>
      <b/>
      <sz val="12"/>
      <color theme="8" tint="-0.499984740745262"/>
      <name val="Calibri"/>
      <family val="2"/>
      <scheme val="minor"/>
    </font>
    <font>
      <sz val="12"/>
      <color theme="5" tint="-0.499984740745262"/>
      <name val="Calibri"/>
      <family val="2"/>
      <scheme val="minor"/>
    </font>
    <font>
      <sz val="14"/>
      <color theme="1"/>
      <name val="Calibri"/>
      <family val="2"/>
      <scheme val="minor"/>
    </font>
    <font>
      <sz val="8"/>
      <color rgb="FFFF0000"/>
      <name val="Calibri"/>
      <family val="2"/>
      <scheme val="minor"/>
    </font>
    <font>
      <sz val="11"/>
      <name val="Calibri"/>
      <family val="2"/>
      <scheme val="minor"/>
    </font>
    <font>
      <sz val="11"/>
      <color rgb="FFFF0000"/>
      <name val="Calibri"/>
      <family val="2"/>
      <scheme val="minor"/>
    </font>
    <font>
      <b/>
      <sz val="12"/>
      <color rgb="FFC00000"/>
      <name val="Calibri"/>
      <family val="2"/>
      <scheme val="minor"/>
    </font>
    <font>
      <sz val="11"/>
      <color theme="4"/>
      <name val="Calibri"/>
      <family val="2"/>
      <scheme val="minor"/>
    </font>
    <font>
      <i/>
      <sz val="11"/>
      <color theme="4"/>
      <name val="Calibri"/>
      <family val="2"/>
      <scheme val="minor"/>
    </font>
    <font>
      <b/>
      <sz val="10"/>
      <color theme="1"/>
      <name val="Calibri Light"/>
      <family val="2"/>
    </font>
    <font>
      <b/>
      <sz val="10"/>
      <color rgb="FF000000"/>
      <name val="Calibri Light"/>
      <family val="2"/>
    </font>
    <font>
      <sz val="10"/>
      <color theme="1"/>
      <name val="Calibri Light"/>
      <family val="2"/>
    </font>
    <font>
      <sz val="11"/>
      <color theme="1"/>
      <name val="Calibri Light"/>
      <family val="2"/>
    </font>
    <font>
      <b/>
      <sz val="12"/>
      <color theme="4"/>
      <name val="Calibri"/>
      <family val="2"/>
      <scheme val="minor"/>
    </font>
    <font>
      <b/>
      <sz val="11"/>
      <color rgb="FFFF0000"/>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7" fillId="0" borderId="0" xfId="0" applyFont="1" applyProtection="1">
      <protection locked="0"/>
    </xf>
    <xf numFmtId="0" fontId="9" fillId="0" borderId="0" xfId="0" applyFont="1" applyProtection="1">
      <protection locked="0"/>
    </xf>
    <xf numFmtId="0" fontId="5" fillId="0" borderId="0" xfId="0" applyFont="1"/>
    <xf numFmtId="0" fontId="6" fillId="0" borderId="0" xfId="0" applyFont="1"/>
    <xf numFmtId="0" fontId="7" fillId="0" borderId="0" xfId="0" applyFont="1"/>
    <xf numFmtId="0" fontId="7" fillId="0" borderId="0" xfId="0" applyFont="1" applyAlignment="1">
      <alignment horizontal="left" vertical="top" wrapText="1"/>
    </xf>
    <xf numFmtId="0" fontId="9" fillId="0" borderId="0" xfId="0" applyFont="1"/>
    <xf numFmtId="0" fontId="6" fillId="4" borderId="0" xfId="0" applyFont="1" applyFill="1" applyAlignment="1">
      <alignment horizontal="left"/>
    </xf>
    <xf numFmtId="0" fontId="10" fillId="0" borderId="0" xfId="0" applyFont="1"/>
    <xf numFmtId="0" fontId="11" fillId="0" borderId="0" xfId="0" applyFont="1"/>
    <xf numFmtId="0" fontId="12" fillId="0" borderId="0" xfId="0" applyFont="1" applyAlignment="1">
      <alignment horizontal="center" wrapText="1"/>
    </xf>
    <xf numFmtId="164" fontId="13" fillId="0" borderId="1" xfId="0" applyNumberFormat="1" applyFont="1" applyBorder="1" applyAlignment="1">
      <alignment horizontal="center"/>
    </xf>
    <xf numFmtId="9" fontId="13" fillId="0" borderId="1" xfId="1" applyFont="1" applyBorder="1" applyAlignment="1" applyProtection="1">
      <alignment horizontal="center"/>
    </xf>
    <xf numFmtId="0" fontId="15" fillId="4" borderId="0" xfId="0" applyFont="1" applyFill="1" applyAlignment="1">
      <alignment horizontal="left"/>
    </xf>
    <xf numFmtId="0" fontId="16" fillId="0" borderId="0" xfId="0" applyFont="1"/>
    <xf numFmtId="0" fontId="17" fillId="0" borderId="0" xfId="0" applyFont="1" applyAlignment="1">
      <alignment horizontal="center" wrapText="1"/>
    </xf>
    <xf numFmtId="0" fontId="15" fillId="0" borderId="0" xfId="0" applyFont="1"/>
    <xf numFmtId="164" fontId="18" fillId="0" borderId="1" xfId="0" applyNumberFormat="1" applyFont="1" applyBorder="1" applyAlignment="1">
      <alignment horizontal="center"/>
    </xf>
    <xf numFmtId="166" fontId="7" fillId="0" borderId="0" xfId="0" applyNumberFormat="1" applyFont="1"/>
    <xf numFmtId="9" fontId="18" fillId="0" borderId="1" xfId="1" applyFont="1" applyBorder="1" applyAlignment="1" applyProtection="1">
      <alignment horizontal="center"/>
    </xf>
    <xf numFmtId="0" fontId="21" fillId="0" borderId="0" xfId="0" applyFont="1"/>
    <xf numFmtId="0" fontId="7" fillId="6" borderId="0" xfId="0" applyFont="1" applyFill="1"/>
    <xf numFmtId="0" fontId="7" fillId="7" borderId="0" xfId="0" applyFont="1" applyFill="1"/>
    <xf numFmtId="0" fontId="7" fillId="8" borderId="0" xfId="0" applyFont="1" applyFill="1"/>
    <xf numFmtId="0" fontId="27" fillId="6" borderId="0" xfId="0" applyFont="1" applyFill="1"/>
    <xf numFmtId="0" fontId="0" fillId="7" borderId="0" xfId="0" applyFill="1"/>
    <xf numFmtId="0" fontId="0" fillId="8" borderId="0" xfId="0" applyFill="1"/>
    <xf numFmtId="164" fontId="7" fillId="0" borderId="0" xfId="0" applyNumberFormat="1" applyFont="1"/>
    <xf numFmtId="0" fontId="27" fillId="5" borderId="0" xfId="0" applyFont="1" applyFill="1"/>
    <xf numFmtId="0" fontId="7" fillId="5" borderId="0" xfId="0" applyFont="1" applyFill="1"/>
    <xf numFmtId="164" fontId="6" fillId="0" borderId="0" xfId="0" applyNumberFormat="1" applyFont="1" applyAlignment="1">
      <alignment horizontal="center"/>
    </xf>
    <xf numFmtId="0" fontId="28" fillId="0" borderId="0" xfId="0" applyFont="1"/>
    <xf numFmtId="164" fontId="22" fillId="0" borderId="1" xfId="0" applyNumberFormat="1" applyFont="1" applyBorder="1" applyAlignment="1">
      <alignment horizontal="center"/>
    </xf>
    <xf numFmtId="0" fontId="6" fillId="0" borderId="0" xfId="0" applyFont="1" applyAlignment="1">
      <alignment horizontal="left" wrapText="1"/>
    </xf>
    <xf numFmtId="6" fontId="22" fillId="0" borderId="2" xfId="0" applyNumberFormat="1" applyFont="1" applyBorder="1" applyAlignment="1">
      <alignment horizontal="center"/>
    </xf>
    <xf numFmtId="164" fontId="23" fillId="0" borderId="3" xfId="1" applyNumberFormat="1" applyFont="1" applyBorder="1" applyAlignment="1" applyProtection="1">
      <alignment horizontal="center"/>
    </xf>
    <xf numFmtId="165" fontId="22" fillId="0" borderId="1" xfId="1" applyNumberFormat="1" applyFont="1" applyBorder="1" applyAlignment="1" applyProtection="1">
      <alignment horizontal="center"/>
    </xf>
    <xf numFmtId="165" fontId="22" fillId="0" borderId="0" xfId="1" applyNumberFormat="1" applyFont="1" applyBorder="1" applyAlignment="1" applyProtection="1">
      <alignment horizontal="center"/>
    </xf>
    <xf numFmtId="165" fontId="24" fillId="0" borderId="0" xfId="1" applyNumberFormat="1" applyFont="1" applyBorder="1" applyAlignment="1" applyProtection="1">
      <alignment horizontal="center"/>
    </xf>
    <xf numFmtId="0" fontId="26" fillId="0" borderId="0" xfId="0" applyFont="1" applyAlignment="1">
      <alignment vertical="top"/>
    </xf>
    <xf numFmtId="0" fontId="35" fillId="0" borderId="0" xfId="0" applyFont="1" applyAlignment="1">
      <alignment vertical="center"/>
    </xf>
    <xf numFmtId="0" fontId="34" fillId="0" borderId="9" xfId="0" applyFont="1" applyBorder="1" applyAlignment="1">
      <alignment horizontal="left" vertical="center"/>
    </xf>
    <xf numFmtId="9" fontId="34" fillId="0" borderId="10" xfId="0" applyNumberFormat="1" applyFont="1" applyBorder="1" applyAlignment="1">
      <alignment horizontal="center" vertical="center"/>
    </xf>
    <xf numFmtId="6" fontId="34" fillId="0" borderId="10" xfId="0" applyNumberFormat="1" applyFont="1" applyBorder="1" applyAlignment="1">
      <alignment horizontal="center" vertical="center"/>
    </xf>
    <xf numFmtId="0" fontId="34" fillId="0" borderId="9" xfId="0" applyFont="1" applyBorder="1" applyAlignment="1">
      <alignment vertical="center"/>
    </xf>
    <xf numFmtId="0" fontId="33" fillId="9" borderId="9" xfId="0" applyFont="1" applyFill="1" applyBorder="1" applyAlignment="1">
      <alignment horizontal="center" vertical="center"/>
    </xf>
    <xf numFmtId="0" fontId="34" fillId="9" borderId="9" xfId="0" applyFont="1" applyFill="1" applyBorder="1" applyAlignment="1">
      <alignment vertical="center"/>
    </xf>
    <xf numFmtId="0" fontId="33" fillId="9" borderId="10" xfId="0" applyFont="1" applyFill="1" applyBorder="1" applyAlignment="1">
      <alignment horizontal="center" vertical="center"/>
    </xf>
    <xf numFmtId="0" fontId="33" fillId="9" borderId="9" xfId="0" applyFont="1" applyFill="1" applyBorder="1" applyAlignment="1">
      <alignment vertical="center"/>
    </xf>
    <xf numFmtId="0" fontId="1" fillId="0" borderId="0" xfId="0" applyFont="1"/>
    <xf numFmtId="9" fontId="7" fillId="0" borderId="0" xfId="0" applyNumberFormat="1" applyFont="1" applyAlignment="1">
      <alignment horizontal="center"/>
    </xf>
    <xf numFmtId="164" fontId="7" fillId="3" borderId="1" xfId="0" applyNumberFormat="1" applyFont="1" applyFill="1" applyBorder="1" applyAlignment="1" applyProtection="1">
      <alignment horizontal="center"/>
      <protection locked="0"/>
    </xf>
    <xf numFmtId="164" fontId="7" fillId="3" borderId="4" xfId="0" applyNumberFormat="1" applyFont="1" applyFill="1" applyBorder="1" applyAlignment="1" applyProtection="1">
      <alignment horizontal="center"/>
      <protection locked="0"/>
    </xf>
    <xf numFmtId="164" fontId="7" fillId="3" borderId="5" xfId="0" applyNumberFormat="1" applyFont="1" applyFill="1" applyBorder="1" applyAlignment="1" applyProtection="1">
      <alignment horizontal="center"/>
      <protection locked="0"/>
    </xf>
    <xf numFmtId="164" fontId="7" fillId="3" borderId="1" xfId="0" applyNumberFormat="1" applyFont="1" applyFill="1" applyBorder="1" applyAlignment="1">
      <alignment horizontal="center"/>
    </xf>
    <xf numFmtId="6" fontId="34" fillId="0" borderId="6" xfId="0" applyNumberFormat="1" applyFont="1" applyBorder="1" applyAlignment="1">
      <alignment horizontal="center" vertical="center"/>
    </xf>
    <xf numFmtId="6" fontId="34" fillId="0" borderId="7" xfId="0" applyNumberFormat="1" applyFont="1" applyBorder="1" applyAlignment="1">
      <alignment horizontal="center" vertical="center"/>
    </xf>
    <xf numFmtId="6" fontId="34" fillId="0" borderId="8" xfId="0" applyNumberFormat="1" applyFont="1" applyBorder="1" applyAlignment="1">
      <alignment horizontal="center" vertical="center"/>
    </xf>
    <xf numFmtId="0" fontId="33" fillId="9" borderId="6" xfId="0" applyFont="1" applyFill="1" applyBorder="1" applyAlignment="1">
      <alignment horizontal="center" vertical="center"/>
    </xf>
    <xf numFmtId="0" fontId="33" fillId="9" borderId="7" xfId="0" applyFont="1" applyFill="1" applyBorder="1" applyAlignment="1">
      <alignment horizontal="center" vertical="center"/>
    </xf>
    <xf numFmtId="0" fontId="33" fillId="9" borderId="8" xfId="0" applyFont="1" applyFill="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vertical="top" wrapText="1"/>
    </xf>
    <xf numFmtId="0" fontId="8" fillId="2" borderId="0" xfId="0" applyFont="1" applyFill="1" applyAlignment="1">
      <alignment horizontal="left" wrapText="1"/>
    </xf>
    <xf numFmtId="0" fontId="8" fillId="2" borderId="0" xfId="0" applyFont="1" applyFill="1" applyAlignment="1">
      <alignment horizontal="left"/>
    </xf>
    <xf numFmtId="0" fontId="20" fillId="0" borderId="0" xfId="0" applyFont="1" applyAlignment="1">
      <alignment horizontal="left" wrapText="1"/>
    </xf>
    <xf numFmtId="0" fontId="30" fillId="0" borderId="0" xfId="0" applyFont="1" applyAlignment="1">
      <alignment horizontal="left" vertical="top" wrapText="1"/>
    </xf>
    <xf numFmtId="0" fontId="37" fillId="0" borderId="0" xfId="0" applyFont="1" applyAlignment="1">
      <alignment horizontal="left" vertical="top" wrapText="1"/>
    </xf>
    <xf numFmtId="0" fontId="11" fillId="0" borderId="0" xfId="0" applyFont="1" applyAlignment="1">
      <alignment wrapText="1"/>
    </xf>
    <xf numFmtId="0" fontId="32" fillId="9" borderId="6" xfId="0" applyFont="1" applyFill="1" applyBorder="1" applyAlignment="1">
      <alignment horizontal="center" vertical="center"/>
    </xf>
    <xf numFmtId="0" fontId="32" fillId="9" borderId="7" xfId="0" applyFont="1" applyFill="1" applyBorder="1" applyAlignment="1">
      <alignment horizontal="center" vertical="center"/>
    </xf>
    <xf numFmtId="0" fontId="32" fillId="9" borderId="8" xfId="0" applyFont="1" applyFill="1" applyBorder="1" applyAlignment="1">
      <alignment horizontal="center" vertical="center"/>
    </xf>
    <xf numFmtId="9" fontId="34" fillId="0" borderId="6" xfId="0" applyNumberFormat="1" applyFont="1" applyBorder="1" applyAlignment="1">
      <alignment horizontal="center" vertical="center"/>
    </xf>
    <xf numFmtId="9" fontId="34" fillId="0" borderId="7" xfId="0" applyNumberFormat="1" applyFont="1" applyBorder="1" applyAlignment="1">
      <alignment horizontal="center" vertical="center"/>
    </xf>
    <xf numFmtId="9" fontId="34" fillId="0" borderId="8" xfId="0" applyNumberFormat="1"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R1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R9" lockText="1" noThreeD="1"/>
</file>

<file path=xl/ctrlProps/ctrlProp20.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R13"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0</xdr:col>
          <xdr:colOff>2390775</xdr:colOff>
          <xdr:row>9</xdr:row>
          <xdr:rowOff>66675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Level of Coverage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7</xdr:row>
          <xdr:rowOff>123825</xdr:rowOff>
        </xdr:from>
        <xdr:to>
          <xdr:col>0</xdr:col>
          <xdr:colOff>1990725</xdr:colOff>
          <xdr:row>9</xdr:row>
          <xdr:rowOff>19050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7</xdr:col>
          <xdr:colOff>28575</xdr:colOff>
          <xdr:row>18</xdr:row>
          <xdr:rowOff>38100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Bargaining Unit Covered under AlaskaCare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13</xdr:row>
          <xdr:rowOff>0</xdr:rowOff>
        </xdr:from>
        <xdr:to>
          <xdr:col>0</xdr:col>
          <xdr:colOff>1152525</xdr:colOff>
          <xdr:row>14</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 - Supervisory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13</xdr:row>
          <xdr:rowOff>180975</xdr:rowOff>
        </xdr:from>
        <xdr:to>
          <xdr:col>0</xdr:col>
          <xdr:colOff>1247775</xdr:colOff>
          <xdr:row>15</xdr:row>
          <xdr:rowOff>66675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KK - Confidential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152400</xdr:rowOff>
        </xdr:from>
        <xdr:to>
          <xdr:col>0</xdr:col>
          <xdr:colOff>1438275</xdr:colOff>
          <xdr:row>16</xdr:row>
          <xdr:rowOff>85725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GC - Correctional Ofcr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xdr:row>
          <xdr:rowOff>180975</xdr:rowOff>
        </xdr:from>
        <xdr:to>
          <xdr:col>0</xdr:col>
          <xdr:colOff>1552575</xdr:colOff>
          <xdr:row>17</xdr:row>
          <xdr:rowOff>104775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XE - 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0</xdr:rowOff>
        </xdr:from>
        <xdr:to>
          <xdr:col>3</xdr:col>
          <xdr:colOff>581025</xdr:colOff>
          <xdr:row>14</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XJ - Judicial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14</xdr:row>
          <xdr:rowOff>9525</xdr:rowOff>
        </xdr:from>
        <xdr:to>
          <xdr:col>3</xdr:col>
          <xdr:colOff>561975</xdr:colOff>
          <xdr:row>15</xdr:row>
          <xdr:rowOff>38100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XL - Legislative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14</xdr:row>
          <xdr:rowOff>180975</xdr:rowOff>
        </xdr:from>
        <xdr:to>
          <xdr:col>3</xdr:col>
          <xdr:colOff>581025</xdr:colOff>
          <xdr:row>16</xdr:row>
          <xdr:rowOff>66675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EE - Excluded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16</xdr:row>
          <xdr:rowOff>28575</xdr:rowOff>
        </xdr:from>
        <xdr:to>
          <xdr:col>3</xdr:col>
          <xdr:colOff>609600</xdr:colOff>
          <xdr:row>17</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TA - AVTEC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161925</xdr:rowOff>
        </xdr:from>
        <xdr:to>
          <xdr:col>6</xdr:col>
          <xdr:colOff>485775</xdr:colOff>
          <xdr:row>14</xdr:row>
          <xdr:rowOff>66675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TM - TEAME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0</xdr:rowOff>
        </xdr:from>
        <xdr:to>
          <xdr:col>6</xdr:col>
          <xdr:colOff>657225</xdr:colOff>
          <xdr:row>15</xdr:row>
          <xdr:rowOff>47625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MM - Inlandboatmens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485775</xdr:colOff>
          <xdr:row>16</xdr:row>
          <xdr:rowOff>47625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BB - Marine Engineer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0</xdr:rowOff>
        </xdr:from>
        <xdr:to>
          <xdr:col>7</xdr:col>
          <xdr:colOff>0</xdr:colOff>
          <xdr:row>9</xdr:row>
          <xdr:rowOff>66675</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Part-Time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133350</xdr:rowOff>
        </xdr:from>
        <xdr:to>
          <xdr:col>5</xdr:col>
          <xdr:colOff>85725</xdr:colOff>
          <xdr:row>8</xdr:row>
          <xdr:rowOff>171450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7</xdr:row>
          <xdr:rowOff>142875</xdr:rowOff>
        </xdr:from>
        <xdr:to>
          <xdr:col>6</xdr:col>
          <xdr:colOff>628650</xdr:colOff>
          <xdr:row>8</xdr:row>
          <xdr:rowOff>180975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xdr:row>
          <xdr:rowOff>123825</xdr:rowOff>
        </xdr:from>
        <xdr:to>
          <xdr:col>0</xdr:col>
          <xdr:colOff>1047750</xdr:colOff>
          <xdr:row>8</xdr:row>
          <xdr:rowOff>180975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Employee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0</xdr:col>
          <xdr:colOff>2390775</xdr:colOff>
          <xdr:row>9</xdr:row>
          <xdr:rowOff>66675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Level of Coverage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xdr:row>
          <xdr:rowOff>123825</xdr:rowOff>
        </xdr:from>
        <xdr:to>
          <xdr:col>0</xdr:col>
          <xdr:colOff>1047750</xdr:colOff>
          <xdr:row>8</xdr:row>
          <xdr:rowOff>180975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Employee Only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85"/>
  <sheetViews>
    <sheetView tabSelected="1" topLeftCell="A14" zoomScaleNormal="100" workbookViewId="0">
      <selection activeCell="E37" sqref="E37:F37"/>
    </sheetView>
  </sheetViews>
  <sheetFormatPr defaultColWidth="9.140625" defaultRowHeight="15" x14ac:dyDescent="0.25"/>
  <cols>
    <col min="1" max="1" width="46.140625" style="5" bestFit="1" customWidth="1"/>
    <col min="2" max="2" width="12.28515625" style="5" bestFit="1" customWidth="1"/>
    <col min="3" max="3" width="18.28515625" style="5" bestFit="1" customWidth="1"/>
    <col min="4" max="4" width="18.5703125" style="5" bestFit="1" customWidth="1"/>
    <col min="5" max="5" width="12.42578125" style="5" customWidth="1"/>
    <col min="6" max="6" width="11.140625" style="5" customWidth="1"/>
    <col min="7" max="7" width="12.28515625" style="5" customWidth="1"/>
    <col min="8" max="8" width="10.5703125" style="5" customWidth="1"/>
    <col min="9" max="11" width="9.140625" style="5" hidden="1" customWidth="1"/>
    <col min="12" max="12" width="10" style="5" hidden="1" customWidth="1"/>
    <col min="13" max="17" width="9.140625" style="5" hidden="1" customWidth="1"/>
    <col min="18" max="18" width="6.5703125" style="5" hidden="1" customWidth="1"/>
    <col min="19" max="19" width="6" style="5" hidden="1" customWidth="1"/>
    <col min="20" max="20" width="19" style="5" hidden="1" customWidth="1"/>
    <col min="21" max="21" width="6.85546875" style="5" hidden="1" customWidth="1"/>
    <col min="22" max="22" width="7.140625" style="5" hidden="1" customWidth="1"/>
    <col min="23" max="23" width="9.42578125" style="5" hidden="1" customWidth="1"/>
    <col min="24" max="25" width="9.7109375" style="5" hidden="1" customWidth="1"/>
    <col min="26" max="26" width="27" style="5" hidden="1" customWidth="1"/>
    <col min="27" max="27" width="19.28515625" style="5" hidden="1" customWidth="1"/>
    <col min="28" max="28" width="9.140625" style="5" hidden="1" customWidth="1"/>
    <col min="29" max="16384" width="9.140625" style="5"/>
  </cols>
  <sheetData>
    <row r="1" spans="1:27" s="3" customFormat="1" ht="21" x14ac:dyDescent="0.35">
      <c r="A1" s="62" t="s">
        <v>68</v>
      </c>
      <c r="B1" s="62"/>
      <c r="C1" s="62"/>
      <c r="D1" s="62"/>
      <c r="E1" s="62"/>
      <c r="F1" s="62"/>
      <c r="G1" s="62"/>
      <c r="H1" s="62"/>
    </row>
    <row r="2" spans="1:27" ht="9.6" customHeight="1" x14ac:dyDescent="0.25">
      <c r="A2" s="4"/>
      <c r="B2" s="4"/>
      <c r="C2" s="4"/>
      <c r="D2" s="4"/>
      <c r="E2" s="4"/>
      <c r="F2" s="4"/>
      <c r="G2" s="4"/>
      <c r="H2" s="4"/>
    </row>
    <row r="3" spans="1:27" x14ac:dyDescent="0.25">
      <c r="A3" s="65" t="s">
        <v>37</v>
      </c>
      <c r="B3" s="65"/>
      <c r="C3" s="65"/>
      <c r="D3" s="65"/>
      <c r="E3" s="65"/>
      <c r="F3" s="65"/>
      <c r="G3" s="65"/>
      <c r="H3" s="65"/>
    </row>
    <row r="4" spans="1:27" ht="35.1" customHeight="1" x14ac:dyDescent="0.25">
      <c r="A4" s="65"/>
      <c r="B4" s="65"/>
      <c r="C4" s="65"/>
      <c r="D4" s="65"/>
      <c r="E4" s="65"/>
      <c r="F4" s="65"/>
      <c r="G4" s="65"/>
      <c r="H4" s="65"/>
    </row>
    <row r="5" spans="1:27" ht="5.45" customHeight="1" x14ac:dyDescent="0.25">
      <c r="A5" s="6"/>
      <c r="B5" s="6"/>
      <c r="C5" s="6"/>
      <c r="D5" s="6"/>
      <c r="E5" s="6"/>
      <c r="F5" s="6"/>
      <c r="G5" s="6"/>
      <c r="H5" s="6"/>
    </row>
    <row r="6" spans="1:27" ht="21" x14ac:dyDescent="0.35">
      <c r="A6" s="67" t="s">
        <v>0</v>
      </c>
      <c r="B6" s="67"/>
      <c r="C6" s="67"/>
      <c r="D6" s="67"/>
      <c r="E6" s="67"/>
      <c r="F6" s="67"/>
      <c r="G6" s="67"/>
      <c r="H6" s="67"/>
      <c r="U6" t="s">
        <v>73</v>
      </c>
      <c r="V6" t="s">
        <v>74</v>
      </c>
    </row>
    <row r="7" spans="1:27" x14ac:dyDescent="0.25">
      <c r="T7" t="s">
        <v>33</v>
      </c>
      <c r="U7">
        <v>2400</v>
      </c>
      <c r="V7" s="5">
        <v>5400</v>
      </c>
    </row>
    <row r="8" spans="1:27" x14ac:dyDescent="0.25">
      <c r="A8" s="50"/>
      <c r="B8" s="50"/>
      <c r="C8" s="50"/>
      <c r="D8" s="50"/>
      <c r="T8" t="s">
        <v>71</v>
      </c>
      <c r="U8" s="5">
        <v>500</v>
      </c>
      <c r="V8" s="5">
        <v>2750</v>
      </c>
    </row>
    <row r="9" spans="1:27" x14ac:dyDescent="0.25">
      <c r="A9" s="50"/>
      <c r="B9" s="50"/>
      <c r="C9" s="50"/>
      <c r="D9" s="50"/>
      <c r="R9" s="1">
        <v>3</v>
      </c>
      <c r="T9" t="s">
        <v>72</v>
      </c>
      <c r="U9" s="5">
        <v>300</v>
      </c>
      <c r="V9" s="5">
        <v>1750</v>
      </c>
    </row>
    <row r="10" spans="1:27" x14ac:dyDescent="0.25">
      <c r="A10" s="50"/>
      <c r="B10" s="50"/>
      <c r="C10" s="50"/>
      <c r="D10" s="50"/>
      <c r="R10" s="1">
        <v>1</v>
      </c>
    </row>
    <row r="11" spans="1:27" ht="21" x14ac:dyDescent="0.35">
      <c r="A11" s="67" t="s">
        <v>1</v>
      </c>
      <c r="B11" s="67"/>
      <c r="C11" s="67"/>
      <c r="D11" s="67"/>
      <c r="E11" s="67"/>
      <c r="F11" s="67"/>
      <c r="G11" s="67"/>
      <c r="H11" s="67"/>
      <c r="T11" t="s">
        <v>75</v>
      </c>
      <c r="Z11" t="s">
        <v>77</v>
      </c>
      <c r="AA11" t="s">
        <v>76</v>
      </c>
    </row>
    <row r="12" spans="1:27" x14ac:dyDescent="0.25">
      <c r="T12" s="5" t="s">
        <v>18</v>
      </c>
      <c r="U12" s="5" t="s">
        <v>16</v>
      </c>
      <c r="V12" s="5" t="s">
        <v>17</v>
      </c>
      <c r="W12" t="s">
        <v>69</v>
      </c>
      <c r="X12" t="s">
        <v>70</v>
      </c>
      <c r="Y12" t="s">
        <v>16</v>
      </c>
      <c r="Z12" s="5">
        <v>25</v>
      </c>
      <c r="AA12" s="5">
        <v>125</v>
      </c>
    </row>
    <row r="13" spans="1:27" s="7" customFormat="1" x14ac:dyDescent="0.25">
      <c r="R13" s="2">
        <v>11</v>
      </c>
      <c r="S13" s="7">
        <v>1</v>
      </c>
      <c r="T13" s="7" t="s">
        <v>19</v>
      </c>
      <c r="U13" s="7">
        <v>63</v>
      </c>
      <c r="V13" s="7">
        <v>167</v>
      </c>
      <c r="W13" s="7">
        <v>471</v>
      </c>
      <c r="X13" s="7">
        <v>1285</v>
      </c>
      <c r="Y13" s="7" t="s">
        <v>17</v>
      </c>
      <c r="Z13" s="7">
        <v>71</v>
      </c>
      <c r="AA13" s="7">
        <v>303</v>
      </c>
    </row>
    <row r="14" spans="1:27" s="7" customFormat="1" x14ac:dyDescent="0.25">
      <c r="S14" s="7">
        <v>2</v>
      </c>
      <c r="T14" s="7" t="s">
        <v>20</v>
      </c>
      <c r="U14" s="7">
        <v>63</v>
      </c>
      <c r="V14" s="7">
        <v>167</v>
      </c>
      <c r="W14" s="7">
        <v>471</v>
      </c>
      <c r="X14" s="7">
        <v>1285</v>
      </c>
      <c r="Y14" s="7" t="s">
        <v>69</v>
      </c>
      <c r="Z14" s="7">
        <v>406.5</v>
      </c>
      <c r="AA14" s="7">
        <v>560</v>
      </c>
    </row>
    <row r="15" spans="1:27" s="7" customFormat="1" x14ac:dyDescent="0.25">
      <c r="S15" s="7">
        <v>3</v>
      </c>
      <c r="T15" s="7" t="s">
        <v>21</v>
      </c>
      <c r="U15" s="7">
        <v>63</v>
      </c>
      <c r="V15" s="7">
        <v>167</v>
      </c>
      <c r="W15" s="7">
        <v>471</v>
      </c>
      <c r="X15" s="7">
        <v>1285</v>
      </c>
      <c r="Y15" s="7" t="s">
        <v>70</v>
      </c>
      <c r="Z15" s="7">
        <v>1158</v>
      </c>
      <c r="AA15" s="7">
        <v>1542</v>
      </c>
    </row>
    <row r="16" spans="1:27" s="7" customFormat="1" x14ac:dyDescent="0.25">
      <c r="S16" s="7">
        <v>4</v>
      </c>
      <c r="T16" s="7" t="s">
        <v>22</v>
      </c>
      <c r="U16" s="7">
        <v>63</v>
      </c>
      <c r="V16" s="7">
        <v>167</v>
      </c>
      <c r="W16" s="7">
        <v>471</v>
      </c>
      <c r="X16" s="7">
        <v>1285</v>
      </c>
    </row>
    <row r="17" spans="1:24" s="7" customFormat="1" x14ac:dyDescent="0.25">
      <c r="S17" s="7">
        <v>5</v>
      </c>
      <c r="T17" s="7" t="s">
        <v>23</v>
      </c>
      <c r="U17" s="7">
        <v>63</v>
      </c>
      <c r="V17" s="7">
        <v>167</v>
      </c>
      <c r="W17" s="7">
        <v>471</v>
      </c>
      <c r="X17" s="7">
        <v>1285</v>
      </c>
    </row>
    <row r="18" spans="1:24" s="7" customFormat="1" x14ac:dyDescent="0.25">
      <c r="S18" s="7">
        <v>6</v>
      </c>
      <c r="T18" s="7" t="s">
        <v>24</v>
      </c>
      <c r="U18" s="7">
        <v>63</v>
      </c>
      <c r="V18" s="7">
        <v>167</v>
      </c>
      <c r="W18" s="7">
        <v>471</v>
      </c>
      <c r="X18" s="7">
        <v>1285</v>
      </c>
    </row>
    <row r="19" spans="1:24" s="7" customFormat="1" x14ac:dyDescent="0.25">
      <c r="S19" s="7">
        <v>7</v>
      </c>
      <c r="T19" s="7" t="s">
        <v>25</v>
      </c>
      <c r="U19" s="7">
        <v>63</v>
      </c>
      <c r="V19" s="7">
        <v>167</v>
      </c>
      <c r="W19" s="7">
        <v>471</v>
      </c>
      <c r="X19" s="7">
        <v>1285</v>
      </c>
    </row>
    <row r="20" spans="1:24" ht="21" x14ac:dyDescent="0.35">
      <c r="A20" s="67" t="s">
        <v>14</v>
      </c>
      <c r="B20" s="67"/>
      <c r="C20" s="67"/>
      <c r="D20" s="67"/>
      <c r="E20" s="67"/>
      <c r="F20" s="67"/>
      <c r="G20" s="67"/>
      <c r="H20" s="67"/>
      <c r="S20" s="7">
        <v>8</v>
      </c>
      <c r="T20" s="7" t="s">
        <v>26</v>
      </c>
      <c r="U20" s="7">
        <v>63</v>
      </c>
      <c r="V20" s="7">
        <v>167</v>
      </c>
      <c r="W20" s="7">
        <v>471</v>
      </c>
      <c r="X20" s="7">
        <v>1285</v>
      </c>
    </row>
    <row r="21" spans="1:24" s="9" customFormat="1" ht="15.75" x14ac:dyDescent="0.25">
      <c r="A21" s="8" t="s">
        <v>5</v>
      </c>
      <c r="B21" s="8"/>
      <c r="C21" s="8"/>
      <c r="D21" s="8"/>
      <c r="E21" s="8"/>
      <c r="F21" s="8"/>
      <c r="G21" s="8"/>
      <c r="H21" s="8"/>
      <c r="S21" s="10">
        <v>9</v>
      </c>
      <c r="T21" s="10" t="s">
        <v>27</v>
      </c>
      <c r="U21" s="7">
        <v>63</v>
      </c>
      <c r="V21" s="7">
        <v>167</v>
      </c>
      <c r="W21" s="7">
        <v>471</v>
      </c>
      <c r="X21" s="7">
        <v>1285</v>
      </c>
    </row>
    <row r="22" spans="1:24" x14ac:dyDescent="0.25">
      <c r="E22" s="11" t="s">
        <v>36</v>
      </c>
      <c r="F22" s="11" t="s">
        <v>3</v>
      </c>
      <c r="G22" s="11" t="s">
        <v>4</v>
      </c>
      <c r="S22" s="7">
        <v>10</v>
      </c>
      <c r="T22" s="7" t="s">
        <v>28</v>
      </c>
      <c r="U22" s="7">
        <v>35</v>
      </c>
      <c r="V22" s="7">
        <v>95</v>
      </c>
      <c r="W22" s="7">
        <v>443</v>
      </c>
      <c r="X22" s="7">
        <v>1213</v>
      </c>
    </row>
    <row r="23" spans="1:24" ht="15.75" x14ac:dyDescent="0.25">
      <c r="A23" s="4" t="s">
        <v>2</v>
      </c>
      <c r="E23" s="12">
        <f>IF($R$9=3,U7,U7*2)</f>
        <v>2400</v>
      </c>
      <c r="F23" s="12">
        <f>IF($R$9=3,U8,U8*2)</f>
        <v>500</v>
      </c>
      <c r="G23" s="12">
        <f>IF($R$9=3,U9,U9*2)</f>
        <v>300</v>
      </c>
      <c r="S23" s="7">
        <v>11</v>
      </c>
      <c r="T23" s="7" t="s">
        <v>29</v>
      </c>
      <c r="U23" s="7">
        <v>63</v>
      </c>
      <c r="V23" s="7">
        <v>167</v>
      </c>
      <c r="W23" s="7">
        <v>471</v>
      </c>
      <c r="X23" s="7">
        <v>1285</v>
      </c>
    </row>
    <row r="24" spans="1:24" ht="15.75" x14ac:dyDescent="0.25">
      <c r="A24" s="4" t="s">
        <v>52</v>
      </c>
      <c r="E24" s="12">
        <f>IF($R$9=3,V7,V7*2)</f>
        <v>5400</v>
      </c>
      <c r="F24" s="12">
        <f>IF($R$9=3,V8,V8*2)</f>
        <v>2750</v>
      </c>
      <c r="G24" s="12">
        <f>IF($R$9=3,V9,V9*2)</f>
        <v>1750</v>
      </c>
    </row>
    <row r="25" spans="1:24" ht="15.75" x14ac:dyDescent="0.25">
      <c r="A25" s="4" t="s">
        <v>53</v>
      </c>
      <c r="E25" s="13">
        <v>0.3</v>
      </c>
      <c r="F25" s="13">
        <v>0.3</v>
      </c>
      <c r="G25" s="13">
        <v>0.2</v>
      </c>
    </row>
    <row r="26" spans="1:24" s="9" customFormat="1" ht="15.75" hidden="1" x14ac:dyDescent="0.25">
      <c r="A26" s="14" t="s">
        <v>6</v>
      </c>
      <c r="B26" s="14"/>
      <c r="C26" s="14"/>
      <c r="D26" s="14"/>
      <c r="E26" s="14"/>
      <c r="F26" s="14"/>
      <c r="G26" s="14"/>
      <c r="H26" s="8"/>
    </row>
    <row r="27" spans="1:24" hidden="1" x14ac:dyDescent="0.25">
      <c r="A27" s="15"/>
      <c r="B27" s="15"/>
      <c r="C27" s="15"/>
      <c r="D27" s="15"/>
      <c r="E27" s="16" t="s">
        <v>36</v>
      </c>
      <c r="F27" s="16" t="s">
        <v>3</v>
      </c>
      <c r="G27" s="16" t="s">
        <v>4</v>
      </c>
    </row>
    <row r="28" spans="1:24" ht="15.75" hidden="1" x14ac:dyDescent="0.25">
      <c r="A28" s="17" t="s">
        <v>11</v>
      </c>
      <c r="B28" s="15"/>
      <c r="C28" s="15"/>
      <c r="D28" s="15"/>
      <c r="E28" s="18">
        <f>IF($R$9=2,2400,4800)</f>
        <v>4800</v>
      </c>
      <c r="F28" s="18">
        <f>IF($R$9=2,500,1000)</f>
        <v>1000</v>
      </c>
      <c r="G28" s="18">
        <f>IF($R$9=2,300,600)</f>
        <v>600</v>
      </c>
      <c r="S28" s="5" t="s">
        <v>33</v>
      </c>
      <c r="T28" s="19">
        <f>100%-CC_CI</f>
        <v>0.5</v>
      </c>
    </row>
    <row r="29" spans="1:24" ht="15.75" hidden="1" x14ac:dyDescent="0.25">
      <c r="A29" s="17" t="s">
        <v>10</v>
      </c>
      <c r="B29" s="15"/>
      <c r="C29" s="15"/>
      <c r="D29" s="15"/>
      <c r="E29" s="18">
        <f>IF($R$9=2,10800,21600)</f>
        <v>21600</v>
      </c>
      <c r="F29" s="18">
        <f>IF($R$9=2,5500,11000)</f>
        <v>11000</v>
      </c>
      <c r="G29" s="18">
        <f>IF($R$9=1,3500,7000)</f>
        <v>7000</v>
      </c>
      <c r="S29" s="5" t="s">
        <v>34</v>
      </c>
      <c r="T29" s="19">
        <f>100%-E_CI</f>
        <v>0.5</v>
      </c>
    </row>
    <row r="30" spans="1:24" ht="15.75" hidden="1" x14ac:dyDescent="0.25">
      <c r="A30" s="17" t="s">
        <v>54</v>
      </c>
      <c r="B30" s="15"/>
      <c r="C30" s="15"/>
      <c r="D30" s="15"/>
      <c r="E30" s="20">
        <v>0.5</v>
      </c>
      <c r="F30" s="20">
        <v>0.5</v>
      </c>
      <c r="G30" s="20">
        <v>0.4</v>
      </c>
      <c r="S30" s="5" t="s">
        <v>35</v>
      </c>
      <c r="T30" s="19">
        <f>100%-S_CI</f>
        <v>0.6</v>
      </c>
    </row>
    <row r="31" spans="1:24" s="21" customFormat="1" ht="6.6" customHeight="1" x14ac:dyDescent="0.2">
      <c r="A31" s="68"/>
      <c r="B31" s="68"/>
      <c r="C31" s="68"/>
      <c r="D31" s="68"/>
      <c r="E31" s="68"/>
      <c r="F31" s="68"/>
      <c r="G31" s="68"/>
      <c r="H31" s="68"/>
    </row>
    <row r="32" spans="1:24" ht="41.45" customHeight="1" x14ac:dyDescent="0.35">
      <c r="A32" s="66" t="s">
        <v>8</v>
      </c>
      <c r="B32" s="66"/>
      <c r="C32" s="66"/>
      <c r="D32" s="66"/>
      <c r="E32" s="66"/>
      <c r="F32" s="66"/>
      <c r="G32" s="66"/>
      <c r="H32" s="66"/>
    </row>
    <row r="33" spans="1:29" ht="15.75" customHeight="1" x14ac:dyDescent="0.25">
      <c r="A33" s="64" t="s">
        <v>97</v>
      </c>
      <c r="B33" s="64"/>
      <c r="C33" s="64"/>
      <c r="D33" s="64"/>
      <c r="E33" s="64"/>
      <c r="F33" s="64"/>
      <c r="G33" s="64"/>
      <c r="H33" s="64"/>
      <c r="S33" s="63"/>
      <c r="T33" s="63"/>
      <c r="U33" s="63"/>
    </row>
    <row r="34" spans="1:29" ht="41.45" customHeight="1" x14ac:dyDescent="0.25">
      <c r="A34" s="65" t="s">
        <v>98</v>
      </c>
      <c r="B34" s="65"/>
      <c r="C34" s="65"/>
      <c r="D34" s="65"/>
      <c r="E34" s="65"/>
      <c r="F34" s="65"/>
      <c r="G34" s="65"/>
      <c r="H34" s="65"/>
    </row>
    <row r="35" spans="1:29" ht="30" customHeight="1" x14ac:dyDescent="0.25">
      <c r="A35" s="65" t="s">
        <v>58</v>
      </c>
      <c r="B35" s="65"/>
      <c r="C35" s="65"/>
      <c r="D35" s="65"/>
      <c r="E35" s="65"/>
      <c r="F35" s="65"/>
      <c r="G35" s="65"/>
      <c r="H35" s="65"/>
    </row>
    <row r="36" spans="1:29" x14ac:dyDescent="0.25">
      <c r="K36" s="22" t="s">
        <v>38</v>
      </c>
      <c r="L36" s="22" t="s">
        <v>41</v>
      </c>
      <c r="M36" s="22" t="s">
        <v>44</v>
      </c>
      <c r="N36" s="23" t="s">
        <v>39</v>
      </c>
      <c r="O36" s="23" t="s">
        <v>42</v>
      </c>
      <c r="P36" s="23" t="s">
        <v>45</v>
      </c>
      <c r="Q36" s="24" t="s">
        <v>40</v>
      </c>
      <c r="R36" s="24" t="s">
        <v>43</v>
      </c>
      <c r="S36" s="24" t="s">
        <v>46</v>
      </c>
      <c r="T36"/>
    </row>
    <row r="37" spans="1:29" ht="15.75" x14ac:dyDescent="0.25">
      <c r="A37" s="4" t="s">
        <v>59</v>
      </c>
      <c r="E37" s="52">
        <v>3000</v>
      </c>
      <c r="F37" s="52"/>
      <c r="J37" s="5" t="s">
        <v>47</v>
      </c>
      <c r="K37" s="22">
        <f>IF(CLAIM1&gt;=(CDED),(CDED),CLAIM1)</f>
        <v>2400</v>
      </c>
      <c r="L37" s="22">
        <f>IF((CLAIM1-CDED)*30%&gt;=(COOP-CDED),(COOP-CDED),IF(CLAIM1&lt;CDED,0,(CLAIM1-CDED)*30%))</f>
        <v>180</v>
      </c>
      <c r="M37" s="22">
        <f>K37+L37</f>
        <v>2580</v>
      </c>
      <c r="N37" s="23">
        <f>IF(CLAIM1&gt;=(ECONDED),(ECONDED),CLAIM1)</f>
        <v>500</v>
      </c>
      <c r="O37" s="23">
        <f>IF((CLAIM1-ECONDED)*30%&gt;=(EOOP-ECONDED),(EOOP-ECONDED),IF(CLAIM1&lt;ECONDED,0,(CLAIM1-ECONDED)*30%))</f>
        <v>750</v>
      </c>
      <c r="P37" s="23">
        <f>N37+O37</f>
        <v>1250</v>
      </c>
      <c r="Q37" s="24">
        <f>IF(CLAIM1&gt;(STANDED),(STANDED),CLAIM1)</f>
        <v>300</v>
      </c>
      <c r="R37" s="24">
        <f>IF((CLAIM1-STANDED)*20%&gt;=(SOOP-STANDED),(SOOP-STANDED),IF(CLAIM1&lt;STANDED,0,(CLAIM1-STANDED)*20%))</f>
        <v>540</v>
      </c>
      <c r="S37" s="24">
        <f>Q37+R37</f>
        <v>840</v>
      </c>
      <c r="T37"/>
    </row>
    <row r="38" spans="1:29" ht="15.75" x14ac:dyDescent="0.25">
      <c r="A38" s="4" t="s">
        <v>60</v>
      </c>
      <c r="E38" s="52"/>
      <c r="F38" s="52"/>
      <c r="G38" s="32" t="str">
        <f>IF($R$9=2,"(Leave Blank)","")</f>
        <v/>
      </c>
      <c r="J38" s="5" t="s">
        <v>48</v>
      </c>
      <c r="K38" s="22">
        <f>IF($R$9=2,"N/A",IF(CLAIM2&gt;=CDED,CDED,CLAIM2))</f>
        <v>0</v>
      </c>
      <c r="L38" s="22">
        <f>IF($R$9=2,"N/A",IF((CLAIM2-CDED)*30%&gt;=(COOP-CDED),(COOP-CDED),IF(CLAIM2&lt;CDED,0,(CLAIM2-CDED)*30%)))</f>
        <v>0</v>
      </c>
      <c r="M38" s="22">
        <f>IF($R$9=2,"N/A",IF((M37+K38+L38)&gt;=CC_NOOP,CC_NOOP-M37,(K38+L38)))</f>
        <v>0</v>
      </c>
      <c r="N38" s="23">
        <f>IF($R$9=2,"N/A",IF(CLAIM2&gt;=ECONDED,ECONDED,CLAIM2))</f>
        <v>0</v>
      </c>
      <c r="O38" s="23">
        <f>IF($R$9=2,"N/A",IF((CLAIM2-EDED)*30%&gt;=EOOP-ECONDED,EOOP-ECONDED,IF(CLAIM2&lt;ECONDED,0,CLAIM2-ECONDED)*30%))</f>
        <v>0</v>
      </c>
      <c r="P38" s="23">
        <f>IF($R$9=2,"N/A",IF((P37+N38+O38)&gt;=E_NOOP,E_NOOP-P37,(N38+O38)))</f>
        <v>0</v>
      </c>
      <c r="Q38" s="24">
        <f>IF($R$9=2,"N/A",IF(CLAIM2&gt;=STANDED,STANDED,CLAIM2))</f>
        <v>0</v>
      </c>
      <c r="R38" s="24">
        <f>IF($R$9=2,"N/A",IF((CLAIM2-STANDED)*20%&gt;=SOOP-STANDED,SOOP-STANDED,IF(CLAIM2&lt;STANDED,0,(CLAIM2-STANDED)*20%)))</f>
        <v>0</v>
      </c>
      <c r="S38" s="24">
        <f>IF($R$9=2,"N/A",IF((Q38+R38+S37)&gt;=S_NOOP,S_NOOP-S37,(Q38+R38)))</f>
        <v>0</v>
      </c>
      <c r="T38"/>
    </row>
    <row r="39" spans="1:29" ht="15.75" x14ac:dyDescent="0.25">
      <c r="A39" s="4" t="s">
        <v>61</v>
      </c>
      <c r="E39" s="53"/>
      <c r="F39" s="54"/>
      <c r="G39" s="32" t="str">
        <f>IF($R$9=2,"(Leave Blank)","")</f>
        <v/>
      </c>
      <c r="J39" s="5" t="s">
        <v>49</v>
      </c>
      <c r="K39" s="22">
        <f>IF($R$9=2,"N/A",IF(K$37+K$38&gt;=CCDED,0,IF($K$37+K$38+CLAIM3&gt;=CCDED,CCDED-K$37-K$38,IF(CLAIM3&gt;=(CCDED),(CCDED),CLAIM3))))</f>
        <v>0</v>
      </c>
      <c r="L39" s="22">
        <f>IF($R$9=2,"N/A",IF(K42+L37+L38&gt;=CC_NOOP,0,IF(K37+K38=CCDED,CLAIM3*30%,IF(AND(K37+K38+K39=CCDED,(CLAIM3-(CCDED-K37-K38))*30%&lt;=CC_NOOP),(CLAIM3-(CCDED-K37-K38))*30%,IF((CLAIM3-(CCDED))*30%&gt;=((CC_NOOP)-(CCDED)),((CC_NOOP)-(CCDED)),IF(CLAIM3&lt;(CCDED),0,(CLAIM3-(CCDED))*30%))))))</f>
        <v>0</v>
      </c>
      <c r="M39" s="22">
        <f>IF($R$9=2,"N/A",IF((M37+M38+K39+L39)&gt;=CC_NOOP,CC_NOOP-M38-M37,(K39+L39)))</f>
        <v>0</v>
      </c>
      <c r="N39" s="23">
        <f>IF($R$9=2,"N/A",IF(N$37+N$38&gt;=EDED,0,IF($N$37+N$38+CLAIM3&gt;=EDED,EDED-N$37-N$38,IF(CLAIM3&gt;=(EDED),(EDED),CLAIM3))))</f>
        <v>0</v>
      </c>
      <c r="O39" s="23">
        <f>IF($R$9=2,"N/A",IF(N42+O37+O38&gt;=E_NOOP,0,IF(N37+N38=EDED,CLAIM3*30%,IF(AND(N37+N38+N39=EDED,(CLAIM3-(EDED-N37-N38))*30%&lt;=E_NOOP),(CLAIM3-(EDED-N37-N38))*30%,IF((CLAIM3-(EDED))*30%&gt;=((E_NOOP)-(EDED)),((E_NOOP)-(EDED)),IF(CLAIM3&lt;(EDED),0,(CLAIM3-(EDED))*30%))))))</f>
        <v>0</v>
      </c>
      <c r="P39" s="23">
        <f>IF($R$9=2,"N/A",IF((P37+P38+N39+O39)&gt;=E_NOOP,E_NOOP-P38-P37,(N39+O39)))</f>
        <v>0</v>
      </c>
      <c r="Q39" s="24">
        <f>IF($R$9=2,"N/A",IF(Q$37+Q$38&gt;=SDED,0,IF(Q$37+Q$38+CLAIM3&gt;=SDED,SDED-Q$37-Q$38,IF(CLAIM3&gt;=(SDED),(SDED),CLAIM3))))</f>
        <v>0</v>
      </c>
      <c r="R39" s="24">
        <f>IF($R$9=2,"N/A",IF(Q42+R37+R38&gt;=S_NOOP,0,IF(Q37+Q38=SDED,CLAIM3*20%,IF(AND(Q37+Q38+Q39=SDED,(CLAIM3-(SDED-Q37-Q38))*20%&lt;=S_NOOP),(CLAIM3-(SDED-Q37-Q38))*20%,IF((CLAIM3-(SDED))*20%&gt;=((S_NOOP)-(SDED)),((S_NOOP)-(SDED)),IF(CLAIM3&lt;(SDED),0,(CLAIM3-(SDED)*20%)))))))</f>
        <v>0</v>
      </c>
      <c r="S39" s="24">
        <f>IF($R$9=2,"N/A",IF((S37+S38+Q39+R39)&gt;=S_NOOP,S_NOOP-S38-S37,(Q39+R39)))</f>
        <v>0</v>
      </c>
      <c r="T39"/>
    </row>
    <row r="40" spans="1:29" ht="15.75" x14ac:dyDescent="0.25">
      <c r="A40" s="4" t="s">
        <v>62</v>
      </c>
      <c r="E40" s="53"/>
      <c r="F40" s="54"/>
      <c r="G40" s="32" t="str">
        <f>IF($R$9=2,"(Leave Blank)","")</f>
        <v/>
      </c>
      <c r="J40" s="5" t="s">
        <v>50</v>
      </c>
      <c r="K40" s="22">
        <f>IF($R$9=2,"N/A",IF(K37+K38+K39&gt;=CCDED,0,IF(AND(K37+K38+K39+CLAIM4&gt;=CCDED,CLAIM4&lt;(CCDED)),CCDED-K37-K38-K39,IF(CLAIM4&gt;=(CCDED),(CCDED),CLAIM4))))</f>
        <v>0</v>
      </c>
      <c r="L40" s="25">
        <f>IF($R$9=2,"N/A",IF(K42+L37+L38+L39&gt;=CC_NOOP,0,IF(AND(K42+L37+L38+L39+(CLAIM4-K40)&gt;=CC_NOOP,(CLAIM4-K40)*30%&lt;(CC_NOOP)),CC_NOOP-(K42+L37+L38+L39),IF(AND((CLAIM4-K40)*30%+K40&gt;=(CC_NOOP),(CC_NOOP-K40&lt;=K42-(L37+L38+L39))),(CC_NOOP)-K40,IF((CLAIM4-K40)*30%+K40&gt;=(CC_NOOP),CC_NOOP-(K42+L37+L38+L39),IF(AND(CLAIM4&lt;=(CCDED),K42&lt;CCDED),0,(CLAIM4-K40)*30%))))))</f>
        <v>0</v>
      </c>
      <c r="M40" s="22">
        <f>IF($R$9=2,"N/A",IF((M37+M38+M39+K40+L40)&gt;CC_NOOP,CC_NOOP-M37-M38-M39,(K40+L40)))</f>
        <v>0</v>
      </c>
      <c r="N40" s="23">
        <f>IF($R$9=2,"N/A",IF(N37+N38+N39&gt;=EDED,0,IF(AND(N37+N38+N39+CLAIM4&gt;=EDED,CLAIM4&lt;(EDED)),EDED-N37-N38-N39,IF(CLAIM4&gt;=(EDED),(EDED),CLAIM4))))</f>
        <v>0</v>
      </c>
      <c r="O40" s="26">
        <f>IF($R$9=2,"N/A",IF(N42+O37+O38+O39&gt;=E_NOOP,0,IF(AND(N42+O37+O38+O39+(CLAIM4-N40)&gt;=E_NOOP,(CLAIM4-N40)*30%&lt;(E_NOOP)),E_NOOP-(N42+O37+O38+O39),IF(AND((E40-N40)*30%+N40&gt;=(E_NOOP),(E_NOOP-N40&lt;=N42-(O37+O38+O39))),(E_NOOP)-N40,IF((CLAIM4-N40)*30%+N40&gt;=(E_NOOP),E_NOOP-(N42+O37+O38+O39),IF(AND(CLAIM4&lt;=(EDED),N42&lt;EDED),0,(CLAIM4-N40)*30%))))))</f>
        <v>0</v>
      </c>
      <c r="P40" s="23">
        <f>IF($R$9=2,"N/A",(IF((P37+P38+P39+N40+O40)&gt;=E_NOOP,E_NOOP-P37-P38-P39,(N40+O40))))</f>
        <v>0</v>
      </c>
      <c r="Q40" s="24">
        <f>IF($R$9=2,"N/A",IF(Q37+Q38+Q39&gt;=SDED,0,IF(AND(Q37+Q38+Q39+CLAIM4&gt;=SDED,CLAIM4&lt;(SDED)),SDED-Q37-Q38-Q39,IF(CLAIM4&gt;=(SDED),(SDED),CLAIM4))))</f>
        <v>0</v>
      </c>
      <c r="R40" s="27">
        <f>IF($R$9=2,"N/A",IF(Q42+R37+R38+R39&gt;=S_NOOP,0,IF(AND(Q42+R37+R38+R39+(CLAIM4-Q40)&gt;=S_NOOP,(CLAIM4-Q40)*20%&lt;(S_NOOP)),S_NOOP-(Q42+R37+R38+R39),IF(AND((CLAIM4-Q40)*20%+Q40&gt;=(S_NOOP),(S_NOOP-Q40&lt;=Q42-(R37+R38+R39))),(S_NOOP)-Q40,IF((CLAIM4-Q40)*20%+Q40&gt;=(S_NOOP),S_NOOP-(Q42+R37+R38+R39),IF(AND(CLAIM4&lt;=(SDED),Q42&lt;SDED),0,(CLAIM4-Q40)*20%))))))</f>
        <v>0</v>
      </c>
      <c r="S40" s="24">
        <f>IF($R$9=2,"N/A",IF((S37+S38+S39+Q40+R40)&gt;S_NOOP,S_NOOP-S37-S38-S39,(Q40+R40)))</f>
        <v>0</v>
      </c>
      <c r="T40"/>
    </row>
    <row r="41" spans="1:29" ht="6" customHeight="1" x14ac:dyDescent="0.25">
      <c r="A41" s="4"/>
      <c r="E41" s="28"/>
      <c r="F41" s="28"/>
      <c r="T41"/>
    </row>
    <row r="42" spans="1:29" ht="15.75" x14ac:dyDescent="0.25">
      <c r="A42" s="4" t="s">
        <v>7</v>
      </c>
      <c r="E42" s="55">
        <f>SUM(E37:F40)</f>
        <v>3000</v>
      </c>
      <c r="F42" s="55"/>
      <c r="J42" s="5" t="s">
        <v>51</v>
      </c>
      <c r="K42" s="22">
        <f>IF((SUM(K37:K40)&gt;(CCDED*2)),(CCDED*2),SUM(K37:K40))</f>
        <v>2400</v>
      </c>
      <c r="L42" s="22">
        <f>SUM(L37:L40)</f>
        <v>180</v>
      </c>
      <c r="M42" s="29">
        <f>IF(((L42+K42)&gt;=(CC_NOOP*2)),(CC_NOOP*2),SUM(M37:M40))</f>
        <v>2580</v>
      </c>
      <c r="N42" s="23">
        <f>IF((SUM(N37:N40)&gt;(EDED*2)),(EDED*2),SUM(N37:N40))</f>
        <v>500</v>
      </c>
      <c r="O42" s="23">
        <f>IF((SUM(N37:N40)&gt;EDED),((SUM(E37:F40)-EDED)*30%),SUM(O37:O41))</f>
        <v>750</v>
      </c>
      <c r="P42" s="30">
        <f>IF(((O42+N42)&gt;(E_NOOP*2)),(E_NOOP*2),SUM(P37:P40))</f>
        <v>1250</v>
      </c>
      <c r="Q42" s="24">
        <f>IF((SUM(Q37:Q40)&gt;(SDED*2)),(SDED*2),SUM(Q37:Q40))</f>
        <v>300</v>
      </c>
      <c r="R42" s="24">
        <f>IF((SUM(Q37:Q40)&gt;SDED),((SUM($E$37:$F$40)-SDED)*20%),SUM(R37:R41))</f>
        <v>540</v>
      </c>
      <c r="S42" s="30">
        <f>IF(((R42+Q42)&gt;(S_NOOP*2)),(S_NOOP*2),SUM(S37:S40))</f>
        <v>840</v>
      </c>
      <c r="T42"/>
    </row>
    <row r="43" spans="1:29" ht="6.6" customHeight="1" x14ac:dyDescent="0.25"/>
    <row r="44" spans="1:29" ht="21" x14ac:dyDescent="0.35">
      <c r="A44" s="66" t="s">
        <v>15</v>
      </c>
      <c r="B44" s="66"/>
      <c r="C44" s="66"/>
      <c r="D44" s="66"/>
      <c r="E44" s="66"/>
      <c r="F44" s="66"/>
      <c r="G44" s="66"/>
      <c r="H44" s="66"/>
      <c r="AA44" s="51"/>
      <c r="AB44" s="51"/>
      <c r="AC44" s="51"/>
    </row>
    <row r="45" spans="1:29" ht="6" customHeight="1" x14ac:dyDescent="0.25"/>
    <row r="46" spans="1:29" ht="6" customHeight="1" thickBot="1" x14ac:dyDescent="0.3"/>
    <row r="47" spans="1:29" ht="15.75" thickBot="1" x14ac:dyDescent="0.3">
      <c r="A47" s="72" t="s">
        <v>78</v>
      </c>
      <c r="B47" s="73"/>
      <c r="C47" s="73"/>
      <c r="D47" s="74"/>
    </row>
    <row r="48" spans="1:29" ht="15.75" thickBot="1" x14ac:dyDescent="0.3">
      <c r="A48" s="59" t="s">
        <v>79</v>
      </c>
      <c r="B48" s="60"/>
      <c r="C48" s="60"/>
      <c r="D48" s="61"/>
    </row>
    <row r="49" spans="1:19" ht="16.5" thickBot="1" x14ac:dyDescent="0.3">
      <c r="A49" s="46" t="s">
        <v>80</v>
      </c>
      <c r="B49" s="59" t="s">
        <v>81</v>
      </c>
      <c r="C49" s="60"/>
      <c r="D49" s="61"/>
      <c r="E49" s="31"/>
      <c r="F49" s="31"/>
      <c r="K49" s="32"/>
      <c r="L49" s="32"/>
    </row>
    <row r="50" spans="1:19" ht="16.5" thickBot="1" x14ac:dyDescent="0.3">
      <c r="A50" s="42" t="s">
        <v>82</v>
      </c>
      <c r="B50" s="56">
        <v>5</v>
      </c>
      <c r="C50" s="57"/>
      <c r="D50" s="58"/>
      <c r="E50" s="4"/>
      <c r="F50" s="4"/>
    </row>
    <row r="51" spans="1:19" ht="15.75" thickBot="1" x14ac:dyDescent="0.3">
      <c r="A51" s="42" t="s">
        <v>83</v>
      </c>
      <c r="B51" s="56">
        <v>10</v>
      </c>
      <c r="C51" s="57"/>
      <c r="D51" s="58"/>
    </row>
    <row r="52" spans="1:19" ht="15.75" thickBot="1" x14ac:dyDescent="0.3">
      <c r="A52" s="42" t="s">
        <v>84</v>
      </c>
      <c r="B52" s="56">
        <v>35</v>
      </c>
      <c r="C52" s="57"/>
      <c r="D52" s="58"/>
    </row>
    <row r="53" spans="1:19" ht="15.75" thickBot="1" x14ac:dyDescent="0.3">
      <c r="A53" s="47"/>
      <c r="B53" s="48" t="s">
        <v>9</v>
      </c>
      <c r="C53" s="48" t="s">
        <v>85</v>
      </c>
      <c r="D53" s="48" t="s">
        <v>86</v>
      </c>
    </row>
    <row r="54" spans="1:19" ht="15.75" thickBot="1" x14ac:dyDescent="0.3">
      <c r="A54" s="42" t="s">
        <v>87</v>
      </c>
      <c r="B54" s="43">
        <v>0.65</v>
      </c>
      <c r="C54" s="44">
        <v>80</v>
      </c>
      <c r="D54" s="44">
        <v>150</v>
      </c>
    </row>
    <row r="55" spans="1:19" ht="15.75" thickBot="1" x14ac:dyDescent="0.3">
      <c r="A55" s="59" t="s">
        <v>99</v>
      </c>
      <c r="B55" s="60"/>
      <c r="C55" s="60"/>
      <c r="D55" s="61"/>
    </row>
    <row r="56" spans="1:19" ht="15.75" thickBot="1" x14ac:dyDescent="0.3">
      <c r="A56" s="49" t="s">
        <v>80</v>
      </c>
      <c r="B56" s="59" t="s">
        <v>81</v>
      </c>
      <c r="C56" s="60"/>
      <c r="D56" s="61"/>
      <c r="Q56" s="63"/>
      <c r="R56" s="63"/>
      <c r="S56" s="63"/>
    </row>
    <row r="57" spans="1:19" ht="15.75" thickBot="1" x14ac:dyDescent="0.3">
      <c r="A57" s="45" t="s">
        <v>88</v>
      </c>
      <c r="B57" s="56">
        <v>10</v>
      </c>
      <c r="C57" s="57"/>
      <c r="D57" s="58"/>
    </row>
    <row r="58" spans="1:19" ht="15.75" thickBot="1" x14ac:dyDescent="0.3">
      <c r="A58" s="45" t="s">
        <v>89</v>
      </c>
      <c r="B58" s="56">
        <v>20</v>
      </c>
      <c r="C58" s="57"/>
      <c r="D58" s="58"/>
    </row>
    <row r="59" spans="1:19" ht="15.75" thickBot="1" x14ac:dyDescent="0.3">
      <c r="A59" s="45" t="s">
        <v>90</v>
      </c>
      <c r="B59" s="56">
        <v>50</v>
      </c>
      <c r="C59" s="57"/>
      <c r="D59" s="58"/>
    </row>
    <row r="60" spans="1:19" ht="15.75" thickBot="1" x14ac:dyDescent="0.3">
      <c r="A60" s="45" t="s">
        <v>91</v>
      </c>
      <c r="B60" s="56">
        <v>100</v>
      </c>
      <c r="C60" s="57"/>
      <c r="D60" s="58"/>
    </row>
    <row r="61" spans="1:19" ht="15.75" thickBot="1" x14ac:dyDescent="0.3">
      <c r="A61" s="59" t="s">
        <v>92</v>
      </c>
      <c r="B61" s="60"/>
      <c r="C61" s="60"/>
      <c r="D61" s="61"/>
    </row>
    <row r="62" spans="1:19" ht="15.75" thickBot="1" x14ac:dyDescent="0.3">
      <c r="A62" s="45" t="s">
        <v>93</v>
      </c>
      <c r="B62" s="75">
        <v>0.6</v>
      </c>
      <c r="C62" s="76"/>
      <c r="D62" s="77"/>
    </row>
    <row r="63" spans="1:19" ht="15.75" thickBot="1" x14ac:dyDescent="0.3">
      <c r="A63" s="59" t="s">
        <v>94</v>
      </c>
      <c r="B63" s="60"/>
      <c r="C63" s="60"/>
      <c r="D63" s="61"/>
    </row>
    <row r="64" spans="1:19" ht="15.75" thickBot="1" x14ac:dyDescent="0.3">
      <c r="A64" s="45" t="s">
        <v>95</v>
      </c>
      <c r="B64" s="56">
        <v>1000</v>
      </c>
      <c r="C64" s="57"/>
      <c r="D64" s="58"/>
    </row>
    <row r="65" spans="1:19" ht="15.75" thickBot="1" x14ac:dyDescent="0.3">
      <c r="A65" s="45" t="s">
        <v>96</v>
      </c>
      <c r="B65" s="56">
        <v>2000</v>
      </c>
      <c r="C65" s="57"/>
      <c r="D65" s="58"/>
    </row>
    <row r="66" spans="1:19" ht="21" x14ac:dyDescent="0.35">
      <c r="A66" s="66" t="s">
        <v>12</v>
      </c>
      <c r="B66" s="66"/>
      <c r="C66" s="66"/>
      <c r="D66" s="66"/>
      <c r="E66" s="66"/>
      <c r="F66" s="66"/>
      <c r="G66" s="66"/>
      <c r="H66" s="66"/>
    </row>
    <row r="67" spans="1:19" ht="12.75" customHeight="1" x14ac:dyDescent="0.25"/>
    <row r="68" spans="1:19" ht="29.1" customHeight="1" x14ac:dyDescent="0.25">
      <c r="A68" s="64" t="s">
        <v>30</v>
      </c>
      <c r="B68" s="64"/>
      <c r="C68" s="64"/>
      <c r="D68" s="64"/>
      <c r="E68" s="64"/>
      <c r="F68" s="64"/>
      <c r="G68" s="64"/>
      <c r="H68" s="64"/>
    </row>
    <row r="69" spans="1:19" ht="9" customHeight="1" x14ac:dyDescent="0.25">
      <c r="A69" s="34"/>
      <c r="B69" s="34"/>
      <c r="C69" s="34"/>
      <c r="D69" s="34"/>
      <c r="E69" s="34"/>
      <c r="F69" s="34"/>
      <c r="G69" s="34"/>
      <c r="H69" s="34"/>
      <c r="I69" s="41"/>
      <c r="J69"/>
      <c r="K69"/>
      <c r="L69"/>
    </row>
    <row r="70" spans="1:19" s="9" customFormat="1" ht="15.75" x14ac:dyDescent="0.25">
      <c r="A70" s="4" t="s">
        <v>5</v>
      </c>
    </row>
    <row r="71" spans="1:19" x14ac:dyDescent="0.25">
      <c r="E71" s="11" t="s">
        <v>36</v>
      </c>
      <c r="F71" s="11" t="s">
        <v>100</v>
      </c>
      <c r="G71" s="11" t="s">
        <v>101</v>
      </c>
      <c r="S71" s="28"/>
    </row>
    <row r="72" spans="1:19" ht="15.75" x14ac:dyDescent="0.25">
      <c r="A72" s="4" t="s">
        <v>13</v>
      </c>
      <c r="E72" s="33">
        <f>IF(AND($R$9=3,$R$10=1),(Z12*12),IF(AND($R$9=3,$R$10=2),(Z14*12),IF(AND($R$9=1,$R$10=1),(Z13*12),(Z15*12))))</f>
        <v>300</v>
      </c>
      <c r="F72" s="33">
        <f>IF(AND($R$9=3,$R$10=1),(VLOOKUP($R$13,S13:X23,3)*12),IF(AND($R$9=3,$R$10=2),(VLOOKUP($R$13,S13:X23,5)*12),IF(AND($R$9=1,$R$10=1),(VLOOKUP($R$13,S13:X23,4)*12),VLOOKUP($R$13,S13:X23,6)*12)))</f>
        <v>756</v>
      </c>
      <c r="G72" s="33">
        <f>IF(AND($R$9=3,$R$10=1),(AA12*12),IF(AND($R$9=3,$R$10=2),(AA14*12),IF(AND($R$9=1,$R$10=1),(AA13*12),(AA15*12))))</f>
        <v>1500</v>
      </c>
    </row>
    <row r="73" spans="1:19" ht="15.75" x14ac:dyDescent="0.25">
      <c r="A73" s="4" t="s">
        <v>57</v>
      </c>
      <c r="E73" s="33">
        <f>M42</f>
        <v>2580</v>
      </c>
      <c r="F73" s="33">
        <f>P42</f>
        <v>1250</v>
      </c>
      <c r="G73" s="33">
        <f>S42</f>
        <v>840</v>
      </c>
    </row>
    <row r="74" spans="1:19" ht="16.5" thickBot="1" x14ac:dyDescent="0.3">
      <c r="A74" s="4" t="s">
        <v>55</v>
      </c>
      <c r="E74" s="35">
        <f>IF(AND($R$9=3,$E$73&lt;=750),($E$73*-1),IF($R$9=3,-750,IF(AND($R$9=1,$E$73&lt;=1500),($E$73*-1),-1500)))</f>
        <v>-750</v>
      </c>
      <c r="F74" s="35">
        <v>0</v>
      </c>
      <c r="G74" s="35">
        <v>0</v>
      </c>
    </row>
    <row r="75" spans="1:19" ht="16.5" thickTop="1" x14ac:dyDescent="0.25">
      <c r="A75" s="4" t="s">
        <v>31</v>
      </c>
      <c r="E75" s="36">
        <f>SUM(E72:E74)</f>
        <v>2130</v>
      </c>
      <c r="F75" s="36">
        <f>SUM(F72:F74)</f>
        <v>2006</v>
      </c>
      <c r="G75" s="36">
        <f t="shared" ref="G75" si="0">SUM(G72:G74)</f>
        <v>2340</v>
      </c>
    </row>
    <row r="76" spans="1:19" ht="15.75" x14ac:dyDescent="0.25">
      <c r="A76" s="4" t="s">
        <v>32</v>
      </c>
      <c r="E76" s="37">
        <f>E75/12</f>
        <v>177.5</v>
      </c>
      <c r="F76" s="37">
        <f t="shared" ref="F76" si="1">F75/12</f>
        <v>167.16666666666666</v>
      </c>
      <c r="G76" s="37">
        <f t="shared" ref="G76" si="2">G75/12</f>
        <v>195</v>
      </c>
    </row>
    <row r="77" spans="1:19" ht="12" customHeight="1" x14ac:dyDescent="0.25">
      <c r="A77" s="4"/>
      <c r="E77" s="38"/>
      <c r="F77" s="38"/>
      <c r="G77" s="38"/>
    </row>
    <row r="78" spans="1:19" ht="49.5" customHeight="1" x14ac:dyDescent="0.25">
      <c r="A78" s="70" t="s">
        <v>102</v>
      </c>
      <c r="B78" s="70"/>
      <c r="C78" s="70"/>
      <c r="D78" s="15"/>
      <c r="E78" s="39"/>
      <c r="F78" s="39"/>
      <c r="G78" s="39"/>
    </row>
    <row r="79" spans="1:19" ht="66.75" customHeight="1" x14ac:dyDescent="0.25">
      <c r="A79" s="71" t="s">
        <v>103</v>
      </c>
      <c r="B79" s="71"/>
      <c r="C79" s="71"/>
      <c r="D79" s="71"/>
      <c r="E79" s="71"/>
      <c r="F79" s="71"/>
      <c r="G79" s="71"/>
      <c r="H79" s="71"/>
    </row>
    <row r="80" spans="1:19" ht="30.6" customHeight="1" x14ac:dyDescent="0.25">
      <c r="A80" s="64" t="s">
        <v>56</v>
      </c>
      <c r="B80" s="64"/>
      <c r="C80" s="64"/>
      <c r="D80" s="64"/>
      <c r="E80" s="64"/>
      <c r="F80" s="64"/>
      <c r="G80" s="64"/>
      <c r="H80" s="64"/>
    </row>
    <row r="81" spans="1:8" s="7" customFormat="1" ht="44.45" customHeight="1" x14ac:dyDescent="0.25">
      <c r="A81" s="40">
        <v>1</v>
      </c>
      <c r="B81" s="69" t="s">
        <v>63</v>
      </c>
      <c r="C81" s="69"/>
      <c r="D81" s="69"/>
      <c r="E81" s="69"/>
      <c r="F81" s="69"/>
      <c r="G81" s="69"/>
      <c r="H81" s="69"/>
    </row>
    <row r="82" spans="1:8" s="7" customFormat="1" ht="75" customHeight="1" x14ac:dyDescent="0.25">
      <c r="A82" s="40">
        <v>2</v>
      </c>
      <c r="B82" s="69" t="s">
        <v>64</v>
      </c>
      <c r="C82" s="69"/>
      <c r="D82" s="69"/>
      <c r="E82" s="69"/>
      <c r="F82" s="69"/>
      <c r="G82" s="69"/>
      <c r="H82" s="69"/>
    </row>
    <row r="83" spans="1:8" s="7" customFormat="1" ht="45.6" customHeight="1" x14ac:dyDescent="0.25">
      <c r="A83" s="40">
        <v>3</v>
      </c>
      <c r="B83" s="69" t="s">
        <v>65</v>
      </c>
      <c r="C83" s="69"/>
      <c r="D83" s="69"/>
      <c r="E83" s="69"/>
      <c r="F83" s="69"/>
      <c r="G83" s="69"/>
      <c r="H83" s="69"/>
    </row>
    <row r="84" spans="1:8" x14ac:dyDescent="0.25">
      <c r="A84" s="40">
        <v>4</v>
      </c>
      <c r="B84" s="69" t="s">
        <v>66</v>
      </c>
      <c r="C84" s="69"/>
      <c r="D84" s="69"/>
      <c r="E84" s="69"/>
      <c r="F84" s="69"/>
      <c r="G84" s="69"/>
      <c r="H84" s="69"/>
    </row>
    <row r="85" spans="1:8" ht="59.1" customHeight="1" x14ac:dyDescent="0.25">
      <c r="A85" s="40">
        <v>5</v>
      </c>
      <c r="B85" s="69" t="s">
        <v>67</v>
      </c>
      <c r="C85" s="69"/>
      <c r="D85" s="69"/>
      <c r="E85" s="69"/>
      <c r="F85" s="69"/>
      <c r="G85" s="69"/>
      <c r="H85" s="69"/>
    </row>
  </sheetData>
  <sheetProtection sheet="1" selectLockedCells="1"/>
  <mergeCells count="46">
    <mergeCell ref="A35:H35"/>
    <mergeCell ref="A63:D63"/>
    <mergeCell ref="A47:D47"/>
    <mergeCell ref="A48:D48"/>
    <mergeCell ref="B49:D49"/>
    <mergeCell ref="B50:D50"/>
    <mergeCell ref="B51:D51"/>
    <mergeCell ref="B52:D52"/>
    <mergeCell ref="B56:D56"/>
    <mergeCell ref="A55:D55"/>
    <mergeCell ref="B57:D57"/>
    <mergeCell ref="B58:D58"/>
    <mergeCell ref="B59:D59"/>
    <mergeCell ref="B60:D60"/>
    <mergeCell ref="B62:D62"/>
    <mergeCell ref="A66:H66"/>
    <mergeCell ref="A68:H68"/>
    <mergeCell ref="B85:H85"/>
    <mergeCell ref="A80:H80"/>
    <mergeCell ref="B82:H82"/>
    <mergeCell ref="B83:H83"/>
    <mergeCell ref="B81:H81"/>
    <mergeCell ref="B84:H84"/>
    <mergeCell ref="A78:C78"/>
    <mergeCell ref="A79:H79"/>
    <mergeCell ref="B64:D64"/>
    <mergeCell ref="B65:D65"/>
    <mergeCell ref="A61:D61"/>
    <mergeCell ref="A1:H1"/>
    <mergeCell ref="S33:U33"/>
    <mergeCell ref="Q56:S56"/>
    <mergeCell ref="A33:H33"/>
    <mergeCell ref="E37:F37"/>
    <mergeCell ref="A34:H34"/>
    <mergeCell ref="A44:H44"/>
    <mergeCell ref="A3:H4"/>
    <mergeCell ref="A6:H6"/>
    <mergeCell ref="A11:H11"/>
    <mergeCell ref="A20:H20"/>
    <mergeCell ref="A32:H32"/>
    <mergeCell ref="A31:H31"/>
    <mergeCell ref="AA44:AC44"/>
    <mergeCell ref="E38:F38"/>
    <mergeCell ref="E39:F39"/>
    <mergeCell ref="E40:F40"/>
    <mergeCell ref="E42:F4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0</xdr:col>
                    <xdr:colOff>28575</xdr:colOff>
                    <xdr:row>7</xdr:row>
                    <xdr:rowOff>0</xdr:rowOff>
                  </from>
                  <to>
                    <xdr:col>0</xdr:col>
                    <xdr:colOff>2390775</xdr:colOff>
                    <xdr:row>9</xdr:row>
                    <xdr:rowOff>66675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0</xdr:col>
                    <xdr:colOff>1438275</xdr:colOff>
                    <xdr:row>7</xdr:row>
                    <xdr:rowOff>123825</xdr:rowOff>
                  </from>
                  <to>
                    <xdr:col>0</xdr:col>
                    <xdr:colOff>1990725</xdr:colOff>
                    <xdr:row>9</xdr:row>
                    <xdr:rowOff>19050</xdr:rowOff>
                  </to>
                </anchor>
              </controlPr>
            </control>
          </mc:Choice>
        </mc:AlternateContent>
        <mc:AlternateContent xmlns:mc="http://schemas.openxmlformats.org/markup-compatibility/2006">
          <mc:Choice Requires="x14">
            <control shapeId="1029" r:id="rId6" name="Group Box 5">
              <controlPr defaultSize="0" autoFill="0" autoPict="0">
                <anchor moveWithCells="1">
                  <from>
                    <xdr:col>0</xdr:col>
                    <xdr:colOff>28575</xdr:colOff>
                    <xdr:row>12</xdr:row>
                    <xdr:rowOff>0</xdr:rowOff>
                  </from>
                  <to>
                    <xdr:col>7</xdr:col>
                    <xdr:colOff>28575</xdr:colOff>
                    <xdr:row>18</xdr:row>
                    <xdr:rowOff>38100</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0</xdr:col>
                    <xdr:colOff>104775</xdr:colOff>
                    <xdr:row>13</xdr:row>
                    <xdr:rowOff>0</xdr:rowOff>
                  </from>
                  <to>
                    <xdr:col>0</xdr:col>
                    <xdr:colOff>1152525</xdr:colOff>
                    <xdr:row>14</xdr:row>
                    <xdr:rowOff>38100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0</xdr:col>
                    <xdr:colOff>104775</xdr:colOff>
                    <xdr:row>13</xdr:row>
                    <xdr:rowOff>180975</xdr:rowOff>
                  </from>
                  <to>
                    <xdr:col>0</xdr:col>
                    <xdr:colOff>1247775</xdr:colOff>
                    <xdr:row>15</xdr:row>
                    <xdr:rowOff>66675</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0</xdr:col>
                    <xdr:colOff>104775</xdr:colOff>
                    <xdr:row>14</xdr:row>
                    <xdr:rowOff>152400</xdr:rowOff>
                  </from>
                  <to>
                    <xdr:col>0</xdr:col>
                    <xdr:colOff>1438275</xdr:colOff>
                    <xdr:row>16</xdr:row>
                    <xdr:rowOff>85725</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0</xdr:col>
                    <xdr:colOff>114300</xdr:colOff>
                    <xdr:row>15</xdr:row>
                    <xdr:rowOff>180975</xdr:rowOff>
                  </from>
                  <to>
                    <xdr:col>0</xdr:col>
                    <xdr:colOff>1552575</xdr:colOff>
                    <xdr:row>17</xdr:row>
                    <xdr:rowOff>104775</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2</xdr:col>
                    <xdr:colOff>561975</xdr:colOff>
                    <xdr:row>13</xdr:row>
                    <xdr:rowOff>0</xdr:rowOff>
                  </from>
                  <to>
                    <xdr:col>3</xdr:col>
                    <xdr:colOff>581025</xdr:colOff>
                    <xdr:row>14</xdr:row>
                    <xdr:rowOff>38100</xdr:rowOff>
                  </to>
                </anchor>
              </controlPr>
            </control>
          </mc:Choice>
        </mc:AlternateContent>
        <mc:AlternateContent xmlns:mc="http://schemas.openxmlformats.org/markup-compatibility/2006">
          <mc:Choice Requires="x14">
            <control shapeId="1035" r:id="rId12" name="Option Button 11">
              <controlPr defaultSize="0" autoFill="0" autoLine="0" autoPict="0">
                <anchor moveWithCells="1">
                  <from>
                    <xdr:col>2</xdr:col>
                    <xdr:colOff>561975</xdr:colOff>
                    <xdr:row>14</xdr:row>
                    <xdr:rowOff>9525</xdr:rowOff>
                  </from>
                  <to>
                    <xdr:col>3</xdr:col>
                    <xdr:colOff>561975</xdr:colOff>
                    <xdr:row>15</xdr:row>
                    <xdr:rowOff>38100</xdr:rowOff>
                  </to>
                </anchor>
              </controlPr>
            </control>
          </mc:Choice>
        </mc:AlternateContent>
        <mc:AlternateContent xmlns:mc="http://schemas.openxmlformats.org/markup-compatibility/2006">
          <mc:Choice Requires="x14">
            <control shapeId="1036" r:id="rId13" name="Option Button 12">
              <controlPr defaultSize="0" autoFill="0" autoLine="0" autoPict="0">
                <anchor moveWithCells="1">
                  <from>
                    <xdr:col>2</xdr:col>
                    <xdr:colOff>561975</xdr:colOff>
                    <xdr:row>14</xdr:row>
                    <xdr:rowOff>180975</xdr:rowOff>
                  </from>
                  <to>
                    <xdr:col>3</xdr:col>
                    <xdr:colOff>581025</xdr:colOff>
                    <xdr:row>16</xdr:row>
                    <xdr:rowOff>66675</xdr:rowOff>
                  </to>
                </anchor>
              </controlPr>
            </control>
          </mc:Choice>
        </mc:AlternateContent>
        <mc:AlternateContent xmlns:mc="http://schemas.openxmlformats.org/markup-compatibility/2006">
          <mc:Choice Requires="x14">
            <control shapeId="1037" r:id="rId14" name="Option Button 13">
              <controlPr defaultSize="0" autoFill="0" autoLine="0" autoPict="0">
                <anchor moveWithCells="1">
                  <from>
                    <xdr:col>2</xdr:col>
                    <xdr:colOff>561975</xdr:colOff>
                    <xdr:row>16</xdr:row>
                    <xdr:rowOff>28575</xdr:rowOff>
                  </from>
                  <to>
                    <xdr:col>3</xdr:col>
                    <xdr:colOff>609600</xdr:colOff>
                    <xdr:row>17</xdr:row>
                    <xdr:rowOff>66675</xdr:rowOff>
                  </to>
                </anchor>
              </controlPr>
            </control>
          </mc:Choice>
        </mc:AlternateContent>
        <mc:AlternateContent xmlns:mc="http://schemas.openxmlformats.org/markup-compatibility/2006">
          <mc:Choice Requires="x14">
            <control shapeId="1038" r:id="rId15" name="Option Button 14">
              <controlPr defaultSize="0" autoFill="0" autoLine="0" autoPict="0">
                <anchor moveWithCells="1">
                  <from>
                    <xdr:col>5</xdr:col>
                    <xdr:colOff>9525</xdr:colOff>
                    <xdr:row>12</xdr:row>
                    <xdr:rowOff>161925</xdr:rowOff>
                  </from>
                  <to>
                    <xdr:col>6</xdr:col>
                    <xdr:colOff>485775</xdr:colOff>
                    <xdr:row>14</xdr:row>
                    <xdr:rowOff>66675</xdr:rowOff>
                  </to>
                </anchor>
              </controlPr>
            </control>
          </mc:Choice>
        </mc:AlternateContent>
        <mc:AlternateContent xmlns:mc="http://schemas.openxmlformats.org/markup-compatibility/2006">
          <mc:Choice Requires="x14">
            <control shapeId="1039" r:id="rId16" name="Option Button 15">
              <controlPr defaultSize="0" autoFill="0" autoLine="0" autoPict="0">
                <anchor moveWithCells="1">
                  <from>
                    <xdr:col>5</xdr:col>
                    <xdr:colOff>9525</xdr:colOff>
                    <xdr:row>14</xdr:row>
                    <xdr:rowOff>0</xdr:rowOff>
                  </from>
                  <to>
                    <xdr:col>6</xdr:col>
                    <xdr:colOff>657225</xdr:colOff>
                    <xdr:row>15</xdr:row>
                    <xdr:rowOff>47625</xdr:rowOff>
                  </to>
                </anchor>
              </controlPr>
            </control>
          </mc:Choice>
        </mc:AlternateContent>
        <mc:AlternateContent xmlns:mc="http://schemas.openxmlformats.org/markup-compatibility/2006">
          <mc:Choice Requires="x14">
            <control shapeId="1040" r:id="rId17" name="Option Button 16">
              <controlPr defaultSize="0" autoFill="0" autoLine="0" autoPict="0">
                <anchor moveWithCells="1">
                  <from>
                    <xdr:col>5</xdr:col>
                    <xdr:colOff>9525</xdr:colOff>
                    <xdr:row>15</xdr:row>
                    <xdr:rowOff>9525</xdr:rowOff>
                  </from>
                  <to>
                    <xdr:col>6</xdr:col>
                    <xdr:colOff>485775</xdr:colOff>
                    <xdr:row>16</xdr:row>
                    <xdr:rowOff>47625</xdr:rowOff>
                  </to>
                </anchor>
              </controlPr>
            </control>
          </mc:Choice>
        </mc:AlternateContent>
        <mc:AlternateContent xmlns:mc="http://schemas.openxmlformats.org/markup-compatibility/2006">
          <mc:Choice Requires="x14">
            <control shapeId="1042" r:id="rId18" name="Group Box 18">
              <controlPr defaultSize="0" autoFill="0" autoPict="0">
                <anchor moveWithCells="1">
                  <from>
                    <xdr:col>4</xdr:col>
                    <xdr:colOff>28575</xdr:colOff>
                    <xdr:row>7</xdr:row>
                    <xdr:rowOff>0</xdr:rowOff>
                  </from>
                  <to>
                    <xdr:col>7</xdr:col>
                    <xdr:colOff>0</xdr:colOff>
                    <xdr:row>9</xdr:row>
                    <xdr:rowOff>66675</xdr:rowOff>
                  </to>
                </anchor>
              </controlPr>
            </control>
          </mc:Choice>
        </mc:AlternateContent>
        <mc:AlternateContent xmlns:mc="http://schemas.openxmlformats.org/markup-compatibility/2006">
          <mc:Choice Requires="x14">
            <control shapeId="1043" r:id="rId19" name="Option Button 19">
              <controlPr defaultSize="0" autoFill="0" autoLine="0" autoPict="0">
                <anchor moveWithCells="1">
                  <from>
                    <xdr:col>4</xdr:col>
                    <xdr:colOff>85725</xdr:colOff>
                    <xdr:row>7</xdr:row>
                    <xdr:rowOff>133350</xdr:rowOff>
                  </from>
                  <to>
                    <xdr:col>5</xdr:col>
                    <xdr:colOff>85725</xdr:colOff>
                    <xdr:row>8</xdr:row>
                    <xdr:rowOff>171450</xdr:rowOff>
                  </to>
                </anchor>
              </controlPr>
            </control>
          </mc:Choice>
        </mc:AlternateContent>
        <mc:AlternateContent xmlns:mc="http://schemas.openxmlformats.org/markup-compatibility/2006">
          <mc:Choice Requires="x14">
            <control shapeId="1044" r:id="rId20" name="Option Button 20">
              <controlPr defaultSize="0" autoFill="0" autoLine="0" autoPict="0">
                <anchor moveWithCells="1">
                  <from>
                    <xdr:col>5</xdr:col>
                    <xdr:colOff>438150</xdr:colOff>
                    <xdr:row>7</xdr:row>
                    <xdr:rowOff>142875</xdr:rowOff>
                  </from>
                  <to>
                    <xdr:col>6</xdr:col>
                    <xdr:colOff>628650</xdr:colOff>
                    <xdr:row>8</xdr:row>
                    <xdr:rowOff>180975</xdr:rowOff>
                  </to>
                </anchor>
              </controlPr>
            </control>
          </mc:Choice>
        </mc:AlternateContent>
        <mc:AlternateContent xmlns:mc="http://schemas.openxmlformats.org/markup-compatibility/2006">
          <mc:Choice Requires="x14">
            <control shapeId="1046" r:id="rId21" name="Option Button 22">
              <controlPr defaultSize="0" autoFill="0" autoLine="0" autoPict="0">
                <anchor moveWithCells="1">
                  <from>
                    <xdr:col>0</xdr:col>
                    <xdr:colOff>161925</xdr:colOff>
                    <xdr:row>7</xdr:row>
                    <xdr:rowOff>123825</xdr:rowOff>
                  </from>
                  <to>
                    <xdr:col>0</xdr:col>
                    <xdr:colOff>1047750</xdr:colOff>
                    <xdr:row>8</xdr:row>
                    <xdr:rowOff>180975</xdr:rowOff>
                  </to>
                </anchor>
              </controlPr>
            </control>
          </mc:Choice>
        </mc:AlternateContent>
        <mc:AlternateContent xmlns:mc="http://schemas.openxmlformats.org/markup-compatibility/2006">
          <mc:Choice Requires="x14">
            <control shapeId="1047" r:id="rId22" name="Group Box 23">
              <controlPr defaultSize="0" autoFill="0" autoPict="0">
                <anchor moveWithCells="1">
                  <from>
                    <xdr:col>0</xdr:col>
                    <xdr:colOff>28575</xdr:colOff>
                    <xdr:row>7</xdr:row>
                    <xdr:rowOff>0</xdr:rowOff>
                  </from>
                  <to>
                    <xdr:col>0</xdr:col>
                    <xdr:colOff>2390775</xdr:colOff>
                    <xdr:row>9</xdr:row>
                    <xdr:rowOff>66675</xdr:rowOff>
                  </to>
                </anchor>
              </controlPr>
            </control>
          </mc:Choice>
        </mc:AlternateContent>
        <mc:AlternateContent xmlns:mc="http://schemas.openxmlformats.org/markup-compatibility/2006">
          <mc:Choice Requires="x14">
            <control shapeId="1049" r:id="rId23" name="Option Button 25">
              <controlPr defaultSize="0" autoFill="0" autoLine="0" autoPict="0">
                <anchor moveWithCells="1">
                  <from>
                    <xdr:col>0</xdr:col>
                    <xdr:colOff>161925</xdr:colOff>
                    <xdr:row>7</xdr:row>
                    <xdr:rowOff>123825</xdr:rowOff>
                  </from>
                  <to>
                    <xdr:col>0</xdr:col>
                    <xdr:colOff>1047750</xdr:colOff>
                    <xdr:row>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30</vt:i4>
      </vt:variant>
    </vt:vector>
  </HeadingPairs>
  <TitlesOfParts>
    <vt:vector size="31" baseType="lpstr">
      <vt:lpstr>Sheet1</vt:lpstr>
      <vt:lpstr>CC_CI</vt:lpstr>
      <vt:lpstr>CC_Ded</vt:lpstr>
      <vt:lpstr>CC_MCoin</vt:lpstr>
      <vt:lpstr>CC_NOOP</vt:lpstr>
      <vt:lpstr>CC_OOP</vt:lpstr>
      <vt:lpstr>CCDED</vt:lpstr>
      <vt:lpstr>CDED</vt:lpstr>
      <vt:lpstr>Claim_Spend</vt:lpstr>
      <vt:lpstr>CLAIM1</vt:lpstr>
      <vt:lpstr>CLAIM2</vt:lpstr>
      <vt:lpstr>CLAIM3</vt:lpstr>
      <vt:lpstr>CLAIM4</vt:lpstr>
      <vt:lpstr>COOP</vt:lpstr>
      <vt:lpstr>E_CI</vt:lpstr>
      <vt:lpstr>E_Ded</vt:lpstr>
      <vt:lpstr>E_MCOIN</vt:lpstr>
      <vt:lpstr>E_NOOP</vt:lpstr>
      <vt:lpstr>E_OOP</vt:lpstr>
      <vt:lpstr>ECONDED</vt:lpstr>
      <vt:lpstr>EDED</vt:lpstr>
      <vt:lpstr>EOOP</vt:lpstr>
      <vt:lpstr>Sheet1!Print_Area</vt:lpstr>
      <vt:lpstr>S_CI</vt:lpstr>
      <vt:lpstr>S_Ded</vt:lpstr>
      <vt:lpstr>S_MCOIN</vt:lpstr>
      <vt:lpstr>S_NOOP</vt:lpstr>
      <vt:lpstr>S_OOP</vt:lpstr>
      <vt:lpstr>SDED</vt:lpstr>
      <vt:lpstr>SOOP</vt:lpstr>
      <vt:lpstr>STANDED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Mueca, Andrea B (DOA)</cp:lastModifiedBy>
  <cp:lastPrinted>2017-09-11T20:39:16Z</cp:lastPrinted>
  <dcterms:created xsi:type="dcterms:W3CDTF">2017-09-11T15:59:18Z</dcterms:created>
  <dcterms:modified xsi:type="dcterms:W3CDTF">2022-10-12T23:18:44Z</dcterms:modified>
</cp:coreProperties>
</file>